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M:\eNG\ND\ND-NM\ND-NM-A\Vertrag und Einspeisung\Vertragsmanagement\Vorlagen\enercity Flughafen Netz\"/>
    </mc:Choice>
  </mc:AlternateContent>
  <xr:revisionPtr revIDLastSave="0" documentId="13_ncr:1_{4C1DA45D-2558-4351-BA9C-E85A77B32272}" xr6:coauthVersionLast="47" xr6:coauthVersionMax="47" xr10:uidLastSave="{00000000-0000-0000-0000-000000000000}"/>
  <bookViews>
    <workbookView xWindow="-57720" yWindow="-120" windowWidth="29040" windowHeight="15840" tabRatio="789" activeTab="3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7" l="1"/>
  <c r="E27" i="1"/>
  <c r="E28" i="1"/>
  <c r="H32" i="17" l="1"/>
  <c r="G32" i="17"/>
  <c r="F32" i="17"/>
  <c r="E32" i="17"/>
  <c r="E7" i="18" l="1"/>
  <c r="E6" i="18"/>
  <c r="E4" i="18"/>
  <c r="E7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G63" i="18"/>
  <c r="D32" i="18"/>
  <c r="L31" i="18" s="1"/>
  <c r="K53" i="18"/>
  <c r="E63" i="18"/>
  <c r="J63" i="18"/>
  <c r="M63" i="18"/>
  <c r="I53" i="18"/>
  <c r="N53" i="18"/>
  <c r="E53" i="18"/>
  <c r="J53" i="18"/>
  <c r="F63" i="18"/>
  <c r="K63" i="18"/>
  <c r="D22" i="18"/>
  <c r="N21" i="18" s="1"/>
  <c r="G53" i="18"/>
  <c r="M53" i="18"/>
  <c r="I63" i="18"/>
  <c r="N63" i="18"/>
  <c r="H31" i="18"/>
  <c r="G31" i="18"/>
  <c r="H53" i="18"/>
  <c r="H63" i="18"/>
  <c r="D24" i="15"/>
  <c r="C23" i="15"/>
  <c r="L21" i="18" l="1"/>
  <c r="K21" i="18"/>
  <c r="M21" i="18"/>
  <c r="J21" i="18"/>
  <c r="M31" i="18"/>
  <c r="J31" i="18"/>
  <c r="G21" i="18"/>
  <c r="H21" i="18"/>
  <c r="I21" i="18"/>
  <c r="F21" i="18"/>
  <c r="D56" i="18"/>
  <c r="J55" i="18" s="1"/>
  <c r="F31" i="18"/>
  <c r="K31" i="18"/>
  <c r="I31" i="18"/>
  <c r="E31" i="18" s="1"/>
  <c r="N31" i="18"/>
  <c r="D66" i="18"/>
  <c r="K65" i="18" s="1"/>
  <c r="L55" i="18"/>
  <c r="H55" i="18"/>
  <c r="M55" i="18"/>
  <c r="E21" i="18"/>
  <c r="N55" i="18"/>
  <c r="F69" i="17"/>
  <c r="G69" i="17"/>
  <c r="H69" i="17"/>
  <c r="I69" i="17"/>
  <c r="J69" i="17"/>
  <c r="K69" i="17"/>
  <c r="L69" i="17"/>
  <c r="M69" i="17"/>
  <c r="N69" i="17"/>
  <c r="E69" i="17"/>
  <c r="F55" i="18" l="1"/>
  <c r="G55" i="18"/>
  <c r="I55" i="18"/>
  <c r="K55" i="18"/>
  <c r="L65" i="18"/>
  <c r="M65" i="18"/>
  <c r="I65" i="18"/>
  <c r="N65" i="18"/>
  <c r="H65" i="18"/>
  <c r="G65" i="18"/>
  <c r="E5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E65" i="18" l="1"/>
  <c r="X11" i="7"/>
  <c r="G57" i="17"/>
  <c r="H57" i="17"/>
  <c r="I57" i="17"/>
  <c r="J57" i="17"/>
  <c r="K57" i="17"/>
  <c r="L57" i="17"/>
  <c r="M57" i="17"/>
  <c r="N57" i="17"/>
  <c r="H63" i="17"/>
  <c r="G53" i="17"/>
  <c r="J66" i="17"/>
  <c r="K66" i="17"/>
  <c r="L66" i="17"/>
  <c r="M66" i="17"/>
  <c r="N66" i="17"/>
  <c r="F67" i="17"/>
  <c r="G67" i="17"/>
  <c r="H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J70" i="17"/>
  <c r="K70" i="17"/>
  <c r="L70" i="17"/>
  <c r="M70" i="17"/>
  <c r="N70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I65" i="17" s="1"/>
  <c r="G65" i="17" l="1"/>
  <c r="K65" i="17"/>
  <c r="F65" i="17"/>
  <c r="H65" i="17"/>
  <c r="L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F25" i="7" l="1"/>
  <c r="F12" i="7"/>
  <c r="F14" i="7"/>
  <c r="F16" i="7"/>
  <c r="F18" i="7"/>
  <c r="F20" i="7"/>
  <c r="F22" i="7"/>
  <c r="F24" i="7"/>
  <c r="L26" i="7"/>
  <c r="Q26" i="7" s="1"/>
  <c r="F26" i="7"/>
  <c r="F13" i="7"/>
  <c r="F15" i="7"/>
  <c r="F17" i="7"/>
  <c r="F19" i="7"/>
  <c r="F21" i="7"/>
  <c r="F23" i="7"/>
  <c r="L25" i="7"/>
  <c r="Q25" i="7" s="1"/>
  <c r="L16" i="7"/>
  <c r="L20" i="7"/>
  <c r="L24" i="7"/>
  <c r="N11" i="7"/>
  <c r="L11" i="7"/>
  <c r="H11" i="7"/>
  <c r="L14" i="7"/>
  <c r="L18" i="7"/>
  <c r="P11" i="7"/>
  <c r="L19" i="7"/>
  <c r="M11" i="7"/>
  <c r="L13" i="7"/>
  <c r="L17" i="7"/>
  <c r="L21" i="7"/>
  <c r="O11" i="7"/>
  <c r="J11" i="7"/>
  <c r="L22" i="7"/>
  <c r="K11" i="7"/>
  <c r="L15" i="7"/>
  <c r="L23" i="7"/>
  <c r="L12" i="7"/>
  <c r="I11" i="7"/>
  <c r="F11" i="7"/>
  <c r="M8" i="4"/>
  <c r="M7" i="4"/>
  <c r="D6" i="15"/>
  <c r="D6" i="7"/>
  <c r="Q18" i="7" l="1"/>
  <c r="Q13" i="7"/>
  <c r="Q15" i="7"/>
  <c r="Q11" i="7"/>
  <c r="Q20" i="7"/>
  <c r="Q12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<sst xmlns="http://schemas.openxmlformats.org/spreadsheetml/2006/main" count="1589" uniqueCount="864">
  <si>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</si>
  <si>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</si>
  <si>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</si>
  <si>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</si>
  <si>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</si>
  <si>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</si>
  <si>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</si>
  <si>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</si>
  <si>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</si>
  <si>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</si>
  <si>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</si>
  <si>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</si>
  <si>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</si>
  <si>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</si>
  <si>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</si>
  <si>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</si>
  <si>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</si>
  <si>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</si>
  <si>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</si>
  <si>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</si>
  <si>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</si>
  <si>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</si>
  <si>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</si>
  <si>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</si>
  <si>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</si>
  <si>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</si>
  <si>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</si>
  <si>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</si>
  <si>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</si>
  <si>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</si>
  <si>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</si>
  <si>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</si>
  <si>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</si>
  <si>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</si>
  <si>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</si>
  <si>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</si>
  <si>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</si>
  <si>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</si>
  <si>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</si>
  <si>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</si>
  <si>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</si>
  <si>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</si>
  <si>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</si>
  <si>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</si>
  <si>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</si>
  <si>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</si>
  <si>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</si>
  <si>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</si>
  <si>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</si>
  <si>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</si>
  <si>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</si>
  <si>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</si>
  <si>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</si>
  <si>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</si>
  <si>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</si>
  <si>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</si>
  <si>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</si>
  <si>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</si>
  <si>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</si>
  <si>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</si>
  <si>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</si>
  <si>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</si>
  <si>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</si>
  <si>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</si>
  <si>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</si>
  <si>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</si>
  <si>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</si>
  <si>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</si>
  <si>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</si>
  <si>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</si>
  <si>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</si>
  <si>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</si>
  <si>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</si>
  <si>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</si>
  <si>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</si>
  <si>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</si>
  <si>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</si>
  <si>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</si>
  <si>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</si>
  <si>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</si>
  <si>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</si>
  <si>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</si>
  <si>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</si>
  <si>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</si>
  <si>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</si>
  <si>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</si>
  <si>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</si>
  <si>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</si>
  <si>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</si>
  <si>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</si>
  <si>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</si>
  <si>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</si>
  <si>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</si>
  <si>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</si>
  <si>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</si>
  <si>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</si>
  <si>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</si>
  <si>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</si>
  <si>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</si>
  <si>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</si>
  <si>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</si>
  <si>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</si>
  <si>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</si>
  <si>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</si>
  <si>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</si>
  <si>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</si>
  <si>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</si>
  <si>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</si>
  <si>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</si>
  <si>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</si>
  <si>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</si>
  <si>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</si>
  <si>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</si>
  <si>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</si>
  <si>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</si>
  <si>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</si>
  <si>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</si>
  <si>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</si>
  <si>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</si>
  <si>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</si>
  <si>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</si>
  <si>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</si>
  <si>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</si>
  <si>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</si>
  <si>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</si>
  <si>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</si>
  <si>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</si>
  <si>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</si>
  <si>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</si>
  <si>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</si>
  <si>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</si>
  <si>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</si>
  <si>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</si>
  <si>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</si>
  <si>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</si>
  <si>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</si>
  <si>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</si>
  <si>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</si>
  <si>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</si>
  <si>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</si>
  <si>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</si>
  <si>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</si>
  <si>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</si>
  <si>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</si>
  <si>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</si>
  <si>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</si>
  <si>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</si>
  <si>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</si>
  <si>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</si>
  <si>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</si>
  <si>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</si>
  <si>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</si>
  <si>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</si>
  <si>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</si>
  <si>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</si>
  <si>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</si>
  <si>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</si>
  <si>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</si>
  <si>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</si>
  <si>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</si>
  <si>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</si>
  <si>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</si>
  <si>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</si>
  <si>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</si>
  <si>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</si>
  <si>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</si>
  <si>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</si>
  <si>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</si>
  <si>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</si>
  <si>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</si>
  <si>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</si>
  <si>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</si>
  <si>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</si>
  <si>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</si>
  <si>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</si>
  <si>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</si>
  <si>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</si>
  <si>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</si>
  <si>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</si>
  <si>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</si>
  <si>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</si>
  <si>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</si>
  <si>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</si>
  <si>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</si>
  <si>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</si>
  <si>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</si>
  <si>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</si>
  <si>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</si>
  <si>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</si>
  <si>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</si>
  <si>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</si>
  <si>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</si>
  <si>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</si>
  <si>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</si>
  <si>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</si>
  <si>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</si>
  <si>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</si>
  <si>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</si>
  <si>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</si>
  <si>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</si>
  <si>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</si>
  <si>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</si>
  <si>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</si>
  <si>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</si>
  <si>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</si>
  <si>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</si>
  <si>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</si>
  <si>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</si>
  <si>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</si>
  <si>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</si>
  <si>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</si>
  <si>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</si>
  <si>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</si>
  <si>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</si>
  <si>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</si>
  <si>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</si>
  <si>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</si>
  <si>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</si>
  <si>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</si>
  <si>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</si>
  <si>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</si>
  <si>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</si>
  <si>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</si>
  <si>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</si>
  <si>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</si>
  <si>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</si>
  <si>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</si>
  <si>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</si>
  <si>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</si>
  <si>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</si>
  <si>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</si>
  <si>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</si>
  <si>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</si>
  <si>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</si>
  <si>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</si>
  <si>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</si>
  <si>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</si>
  <si>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</si>
  <si>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</si>
  <si>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</si>
  <si>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</si>
  <si>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</si>
  <si>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</si>
  <si>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</si>
  <si>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</si>
  <si>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</si>
  <si>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</si>
  <si>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</si>
  <si>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</si>
  <si>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</si>
  <si>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</si>
  <si>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</si>
  <si>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</si>
  <si>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</si>
  <si>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</si>
  <si>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</si>
  <si>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</si>
  <si>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</si>
  <si>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</si>
  <si>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</si>
  <si>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</si>
  <si>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</si>
  <si>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</si>
  <si>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</si>
  <si>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</si>
  <si>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</si>
  <si>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</si>
  <si>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</si>
  <si>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</si>
  <si>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</si>
  <si>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</si>
  <si>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</si>
  <si>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</si>
  <si>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</si>
  <si>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</si>
  <si>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</si>
  <si>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</si>
  <si>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</si>
  <si>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</si>
  <si>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</si>
  <si>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</si>
  <si>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</si>
  <si>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</si>
  <si>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</si>
  <si>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</si>
  <si>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</si>
  <si>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</si>
  <si>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</si>
  <si>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</si>
  <si>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</si>
  <si>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</si>
  <si>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</si>
  <si>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</si>
  <si>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</si>
  <si>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</si>
  <si>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</si>
  <si>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</si>
  <si>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</si>
  <si>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</si>
  <si>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</si>
  <si>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</si>
  <si>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</si>
  <si>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</si>
  <si>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</si>
  <si>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</si>
  <si>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</si>
  <si>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</si>
  <si>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</si>
  <si>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</si>
  <si>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</si>
  <si>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</si>
  <si>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</si>
  <si>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</si>
  <si>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</si>
  <si>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</si>
  <si>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</si>
  <si>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</si>
  <si>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</si>
  <si>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</si>
  <si>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</si>
  <si>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</si>
  <si>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</si>
  <si>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</si>
  <si>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</si>
  <si>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</si>
  <si>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</si>
  <si>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</si>
  <si>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</si>
  <si>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</si>
  <si>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</si>
  <si>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</si>
  <si>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</si>
  <si>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</si>
  <si>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</si>
  <si>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</si>
  <si>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</si>
  <si>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</si>
  <si>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</si>
  <si>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</si>
  <si>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</si>
  <si>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</si>
  <si>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</si>
  <si>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</si>
  <si>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</si>
  <si>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</si>
  <si>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</si>
  <si>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</si>
  <si>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</si>
  <si>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</si>
  <si>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</si>
  <si>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</si>
  <si>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</si>
  <si>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</si>
  <si>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</si>
  <si>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</si>
  <si>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</si>
  <si>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</si>
  <si>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</si>
  <si>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</si>
  <si>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</si>
  <si>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</si>
  <si>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</si>
  <si>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</si>
  <si>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</si>
  <si>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</si>
  <si>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</si>
  <si>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</si>
  <si>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</si>
  <si>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</si>
  <si>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</si>
  <si>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</si>
  <si>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</si>
  <si>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</si>
  <si>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</si>
  <si>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</si>
  <si>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</si>
  <si>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</si>
  <si>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</si>
  <si>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</si>
  <si>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</si>
  <si>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</si>
  <si>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</si>
  <si>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</si>
  <si>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</si>
  <si>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</si>
  <si>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</si>
  <si>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</si>
  <si>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</si>
  <si>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</si>
  <si>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</si>
  <si>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</si>
  <si>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</si>
  <si>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</si>
  <si>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</si>
  <si>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</si>
  <si>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</si>
  <si>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</si>
  <si>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</si>
  <si>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</si>
  <si>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</si>
  <si>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</si>
  <si>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</si>
  <si>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</si>
  <si>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</si>
  <si>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</si>
  <si>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</si>
  <si>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</si>
  <si>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</si>
  <si>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</si>
  <si>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</si>
  <si>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</si>
  <si>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</si>
  <si>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</si>
  <si>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</si>
  <si>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</si>
  <si>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</si>
  <si>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</si>
  <si>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</si>
  <si>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</si>
  <si>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</si>
  <si>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</si>
  <si>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</si>
  <si>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</si>
  <si>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</si>
  <si>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</si>
  <si>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</si>
  <si>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</si>
  <si>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</si>
  <si>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</si>
  <si>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</si>
  <si>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</si>
  <si>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</si>
  <si>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</si>
  <si>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</si>
  <si>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</si>
  <si>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</si>
  <si>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</si>
  <si>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</si>
  <si>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</si>
  <si>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</si>
  <si>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</si>
  <si>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</si>
  <si>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</si>
  <si>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</si>
  <si>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</si>
  <si>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</si>
  <si>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</si>
  <si>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</si>
  <si>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</si>
  <si>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</si>
  <si>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</si>
  <si>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</si>
  <si>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</si>
  <si>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</si>
  <si>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</si>
  <si>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</si>
  <si>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</si>
  <si>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</si>
  <si>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</si>
  <si>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</si>
  <si>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</si>
  <si>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</si>
  <si>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</si>
  <si>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</si>
  <si>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</si>
  <si>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</si>
  <si>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</si>
  <si>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</si>
  <si>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</si>
  <si>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</si>
  <si>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</si>
  <si>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</si>
  <si>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</si>
  <si>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</si>
  <si>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</si>
  <si>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</si>
  <si>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</si>
  <si>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</si>
  <si>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</si>
  <si>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</si>
  <si>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</si>
  <si>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</si>
  <si>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</si>
  <si>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</si>
  <si>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</si>
  <si>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</si>
  <si>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</si>
  <si>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</si>
  <si>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</si>
  <si>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</si>
  <si>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</si>
  <si>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</si>
  <si>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</si>
  <si>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</si>
  <si>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</si>
  <si>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</si>
  <si>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</si>
  <si>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</si>
  <si>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</si>
  <si>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</si>
  <si>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</si>
  <si>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</si>
  <si>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</si>
  <si>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</si>
  <si>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</si>
  <si>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</si>
  <si>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</si>
  <si>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</si>
  <si>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</si>
  <si>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</si>
  <si>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</si>
  <si>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</si>
  <si>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</si>
  <si>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</si>
  <si>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</si>
  <si>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</si>
  <si>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</si>
  <si>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</si>
  <si>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</si>
  <si>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</si>
  <si>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</si>
  <si>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</si>
  <si>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</si>
  <si>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</si>
  <si>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</si>
  <si>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</si>
  <si>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</si>
  <si>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</si>
  <si>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</si>
  <si>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</si>
  <si>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</si>
  <si>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</si>
  <si>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</si>
  <si>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</si>
  <si>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</si>
  <si>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</si>
  <si>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</si>
  <si>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</si>
  <si>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</si>
  <si>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</si>
  <si>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</si>
  <si>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</si>
  <si>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</si>
  <si>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</si>
  <si>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</si>
  <si>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</si>
  <si>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</si>
  <si>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</si>
  <si>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</si>
  <si>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</si>
  <si>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</si>
  <si>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</si>
  <si>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</si>
  <si>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</si>
  <si>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</si>
  <si>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</si>
  <si>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</si>
  <si>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</si>
  <si>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</si>
  <si>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</si>
  <si>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</si>
  <si>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</si>
  <si>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</si>
  <si>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</si>
  <si>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</si>
  <si>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</si>
  <si>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</si>
  <si>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</si>
  <si>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</si>
  <si>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</si>
  <si>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</si>
  <si>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</si>
  <si>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</si>
  <si>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</si>
  <si>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</si>
  <si>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</si>
  <si>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</si>
  <si>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</si>
  <si>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</si>
  <si>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</si>
  <si>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</si>
  <si>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</si>
  <si>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</si>
  <si>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</si>
  <si>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</si>
  <si>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</si>
  <si>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</si>
  <si>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</si>
  <si>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</si>
  <si>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</si>
  <si>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</si>
  <si>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</si>
  <si>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</si>
  <si>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</si>
  <si>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</si>
  <si>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</si>
  <si>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</si>
  <si>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</si>
  <si>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</si>
  <si>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</si>
  <si>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</si>
  <si>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</si>
  <si>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</si>
  <si>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</si>
  <si>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</si>
  <si>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</si>
  <si>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</si>
  <si>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</si>
  <si>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</si>
  <si>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</si>
  <si>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</si>
  <si>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</si>
  <si>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</si>
  <si>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</si>
  <si>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</si>
  <si>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</si>
  <si>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</si>
  <si>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</si>
  <si>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</si>
  <si>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</si>
  <si>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</si>
  <si>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</si>
  <si>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</si>
  <si>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</si>
  <si>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</si>
  <si>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</si>
  <si>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</si>
  <si>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</si>
  <si>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</si>
  <si>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</si>
  <si>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</si>
  <si>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</si>
  <si>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</si>
  <si>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</si>
  <si>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</si>
  <si>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</si>
  <si>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</si>
  <si>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</si>
  <si>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</si>
  <si>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</si>
  <si>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</si>
  <si>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</si>
  <si>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</si>
  <si>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</si>
  <si>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</si>
  <si>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</si>
  <si>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</si>
  <si>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</si>
  <si>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</si>
  <si>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</si>
  <si>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</si>
  <si>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</si>
  <si>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</si>
  <si>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</si>
  <si>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</si>
  <si>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</si>
  <si>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Hannover</t>
  </si>
  <si>
    <t>Stefan Ebeling</t>
  </si>
  <si>
    <t>bilanzierung.gas@enercity-netz.de</t>
  </si>
  <si>
    <t>0511 - 430-5191</t>
  </si>
  <si>
    <t>DWD Hannover-Flughafen</t>
  </si>
  <si>
    <t>Hannover-Langenhagen</t>
  </si>
  <si>
    <t>GASPOOLNL7007541</t>
  </si>
  <si>
    <t>NCLN007007540000</t>
  </si>
  <si>
    <t>NCG und Gaspool ohne MGÜ</t>
  </si>
  <si>
    <t>Temp. hist. Ø (Monat)</t>
  </si>
  <si>
    <t>T(Allokation) = TSn(gew.Temp)</t>
  </si>
  <si>
    <t>Gewichte  G(Tn):</t>
  </si>
  <si>
    <t>Geom.-Reihe (gem. LF-SLP) Allokation</t>
  </si>
  <si>
    <t>Geom.-Reihe (gem. LF-SLP) Kundenwertermittlung</t>
  </si>
  <si>
    <t>Die Werte sind veröffentlicht im LRV,  Anlage 5.</t>
  </si>
  <si>
    <t>DE_GBA34</t>
  </si>
  <si>
    <t>DE_GBD34</t>
  </si>
  <si>
    <t>DE_GBH34</t>
  </si>
  <si>
    <t>DE_GGA34</t>
  </si>
  <si>
    <t>DE_GGB34</t>
  </si>
  <si>
    <t>DE_GHA34</t>
  </si>
  <si>
    <t>DE_GHD34</t>
  </si>
  <si>
    <t>DE_GMF34</t>
  </si>
  <si>
    <t>DE_GMK34</t>
  </si>
  <si>
    <t>DE_GPD34</t>
  </si>
  <si>
    <t>DE_GWA34</t>
  </si>
  <si>
    <t>DE_HEF34</t>
  </si>
  <si>
    <t>DE_HMF34</t>
  </si>
  <si>
    <t xml:space="preserve"> 0,3537640</t>
  </si>
  <si>
    <t>-33,350000</t>
  </si>
  <si>
    <t xml:space="preserve"> 5,7212303</t>
  </si>
  <si>
    <t xml:space="preserve">0,3033305 </t>
  </si>
  <si>
    <t xml:space="preserve"> 1,5175792</t>
  </si>
  <si>
    <t>-37,500000</t>
  </si>
  <si>
    <t xml:space="preserve"> 6,8000000</t>
  </si>
  <si>
    <t xml:space="preserve">0,0295801 </t>
  </si>
  <si>
    <t xml:space="preserve"> 0,9872585</t>
  </si>
  <si>
    <t>-35,253212</t>
  </si>
  <si>
    <t xml:space="preserve"> 6,0587001</t>
  </si>
  <si>
    <t xml:space="preserve">0,0793512 </t>
  </si>
  <si>
    <t xml:space="preserve"> 1,1848320</t>
  </si>
  <si>
    <t>-36,000000</t>
  </si>
  <si>
    <t xml:space="preserve"> 7,7368518</t>
  </si>
  <si>
    <t xml:space="preserve">0,0793107 </t>
  </si>
  <si>
    <t xml:space="preserve"> 1,6266812</t>
  </si>
  <si>
    <t>-37,882536</t>
  </si>
  <si>
    <t xml:space="preserve"> 6,9836070</t>
  </si>
  <si>
    <t xml:space="preserve">0,0297136 </t>
  </si>
  <si>
    <t xml:space="preserve"> 1,8398455</t>
  </si>
  <si>
    <t>-37,828203</t>
  </si>
  <si>
    <t xml:space="preserve"> 8,1593369</t>
  </si>
  <si>
    <t xml:space="preserve">0,0259710 </t>
  </si>
  <si>
    <t xml:space="preserve"> 1,2569600</t>
  </si>
  <si>
    <t>-36,607845</t>
  </si>
  <si>
    <t xml:space="preserve"> 7,3211870</t>
  </si>
  <si>
    <t xml:space="preserve">0,0776960 </t>
  </si>
  <si>
    <t xml:space="preserve"> 1,4256684</t>
  </si>
  <si>
    <t>-36,659050</t>
  </si>
  <si>
    <t xml:space="preserve"> 7,6083226</t>
  </si>
  <si>
    <t xml:space="preserve">0,0371116 </t>
  </si>
  <si>
    <t xml:space="preserve"> 1,0443538</t>
  </si>
  <si>
    <t>-35,033375</t>
  </si>
  <si>
    <t xml:space="preserve"> 6,2240634</t>
  </si>
  <si>
    <t xml:space="preserve">0,0502917 </t>
  </si>
  <si>
    <t xml:space="preserve"> 1,3284913</t>
  </si>
  <si>
    <t>-35,871506</t>
  </si>
  <si>
    <t xml:space="preserve"> 7,5186829</t>
  </si>
  <si>
    <t xml:space="preserve">0,0175540 </t>
  </si>
  <si>
    <t xml:space="preserve"> 1,8834609</t>
  </si>
  <si>
    <t>-37,000000</t>
  </si>
  <si>
    <t xml:space="preserve"> 10,2405021</t>
  </si>
  <si>
    <t xml:space="preserve">0,0275470 </t>
  </si>
  <si>
    <t xml:space="preserve"> 0,3925339</t>
  </si>
  <si>
    <t>-35,300000</t>
  </si>
  <si>
    <t xml:space="preserve"> 4,8662747</t>
  </si>
  <si>
    <t xml:space="preserve">0,3045099 </t>
  </si>
  <si>
    <t xml:space="preserve"> 1,3819663</t>
  </si>
  <si>
    <t>-37,412415</t>
  </si>
  <si>
    <t xml:space="preserve"> 6,1723179</t>
  </si>
  <si>
    <t xml:space="preserve">0,0396284 </t>
  </si>
  <si>
    <t xml:space="preserve"> 0,4040932</t>
  </si>
  <si>
    <t>-24,439296</t>
  </si>
  <si>
    <t xml:space="preserve"> 6,5718175</t>
  </si>
  <si>
    <t xml:space="preserve">0,7107710 </t>
  </si>
  <si>
    <t>-0,0177463</t>
  </si>
  <si>
    <t xml:space="preserve">0,6825699 </t>
  </si>
  <si>
    <t xml:space="preserve">0,5434624 </t>
  </si>
  <si>
    <t>-0,0788559</t>
  </si>
  <si>
    <t xml:space="preserve">1,2161250 </t>
  </si>
  <si>
    <t xml:space="preserve">0,0968721 </t>
  </si>
  <si>
    <t>-0,0495013</t>
  </si>
  <si>
    <t xml:space="preserve">0,9637999 </t>
  </si>
  <si>
    <t xml:space="preserve">0,2288398 </t>
  </si>
  <si>
    <t>-0,0687383</t>
  </si>
  <si>
    <t xml:space="preserve">1,1308570 </t>
  </si>
  <si>
    <t xml:space="preserve">0,1910301 </t>
  </si>
  <si>
    <t>-0,0854333</t>
  </si>
  <si>
    <t xml:space="preserve">1,2709629 </t>
  </si>
  <si>
    <t xml:space="preserve">0,0928124 </t>
  </si>
  <si>
    <t>-0,1069262</t>
  </si>
  <si>
    <t xml:space="preserve">1,4552240 </t>
  </si>
  <si>
    <t xml:space="preserve">0,0691851 </t>
  </si>
  <si>
    <t>-0,0696826</t>
  </si>
  <si>
    <t xml:space="preserve">1,1379702 </t>
  </si>
  <si>
    <t xml:space="preserve">0,1921068 </t>
  </si>
  <si>
    <t>-0,0809359</t>
  </si>
  <si>
    <t xml:space="preserve">1,2364527 </t>
  </si>
  <si>
    <t xml:space="preserve">0,1002979 </t>
  </si>
  <si>
    <t>-0,0535830</t>
  </si>
  <si>
    <t xml:space="preserve">0,9995901 </t>
  </si>
  <si>
    <t xml:space="preserve">0,1633299 </t>
  </si>
  <si>
    <t>-0,0758983</t>
  </si>
  <si>
    <t xml:space="preserve">1,1942555 </t>
  </si>
  <si>
    <t xml:space="preserve">0,0603337 </t>
  </si>
  <si>
    <t>-0,1253100</t>
  </si>
  <si>
    <t xml:space="preserve">1,6275999 </t>
  </si>
  <si>
    <t xml:space="preserve">0,0635119 </t>
  </si>
  <si>
    <t>-0,0167993</t>
  </si>
  <si>
    <t xml:space="preserve">0,6710889 </t>
  </si>
  <si>
    <t xml:space="preserve">0,5614623 </t>
  </si>
  <si>
    <t>-0,0672159</t>
  </si>
  <si>
    <t xml:space="preserve">1,1167138 </t>
  </si>
  <si>
    <t xml:space="preserve">0,1355070 </t>
  </si>
  <si>
    <t>0,0000000</t>
  </si>
  <si>
    <t>1,1211</t>
  </si>
  <si>
    <t>1,0769</t>
  </si>
  <si>
    <t>1,1353</t>
  </si>
  <si>
    <t>1,1402</t>
  </si>
  <si>
    <t>0,4852</t>
  </si>
  <si>
    <t>0,9565</t>
  </si>
  <si>
    <t>1,0857</t>
  </si>
  <si>
    <t>1,0378</t>
  </si>
  <si>
    <t>1,0622</t>
  </si>
  <si>
    <t>1,0266</t>
  </si>
  <si>
    <t>0,7629</t>
  </si>
  <si>
    <t>0,9196</t>
  </si>
  <si>
    <t>1,0389</t>
  </si>
  <si>
    <t>1,0028</t>
  </si>
  <si>
    <t>1,0162</t>
  </si>
  <si>
    <t>1,0024</t>
  </si>
  <si>
    <t>1,0043</t>
  </si>
  <si>
    <t>0,9587</t>
  </si>
  <si>
    <t>0,9894</t>
  </si>
  <si>
    <t>1,0033</t>
  </si>
  <si>
    <t>1,0109</t>
  </si>
  <si>
    <t>1,0180</t>
  </si>
  <si>
    <t>1,0356</t>
  </si>
  <si>
    <t>1,0106</t>
  </si>
  <si>
    <t>0,9627</t>
  </si>
  <si>
    <t>1,0507</t>
  </si>
  <si>
    <t>1,0552</t>
  </si>
  <si>
    <t>1,0297</t>
  </si>
  <si>
    <t>0,9767</t>
  </si>
  <si>
    <t>0,9353</t>
  </si>
  <si>
    <t>1,0232</t>
  </si>
  <si>
    <t>1,0252</t>
  </si>
  <si>
    <t>1,0295</t>
  </si>
  <si>
    <t>1,0253</t>
  </si>
  <si>
    <t>0,9675</t>
  </si>
  <si>
    <t>0,8935</t>
  </si>
  <si>
    <t>1,0300</t>
  </si>
  <si>
    <t>1,0200</t>
  </si>
  <si>
    <t>1,0100</t>
  </si>
  <si>
    <t>0,9300</t>
  </si>
  <si>
    <t>0,9500</t>
  </si>
  <si>
    <t>1,0523</t>
  </si>
  <si>
    <t>1,0449</t>
  </si>
  <si>
    <t>1,0494</t>
  </si>
  <si>
    <t>0,9885</t>
  </si>
  <si>
    <t>0,8860</t>
  </si>
  <si>
    <t>0,9435</t>
  </si>
  <si>
    <t>1,0365</t>
  </si>
  <si>
    <t>0,9933</t>
  </si>
  <si>
    <t>0,9948</t>
  </si>
  <si>
    <t>1,0659</t>
  </si>
  <si>
    <t>0,9362</t>
  </si>
  <si>
    <t>0,9034</t>
  </si>
  <si>
    <t xml:space="preserve"> 1,0866</t>
  </si>
  <si>
    <t xml:space="preserve"> 1,0720</t>
  </si>
  <si>
    <t xml:space="preserve"> 1,0557</t>
  </si>
  <si>
    <t xml:space="preserve"> 1,0117</t>
  </si>
  <si>
    <t xml:space="preserve"> 0,9001</t>
  </si>
  <si>
    <t xml:space="preserve"> 0,8525</t>
  </si>
  <si>
    <t>1,2615</t>
  </si>
  <si>
    <t>1,2707</t>
  </si>
  <si>
    <t>1,2430</t>
  </si>
  <si>
    <t>1,1276</t>
  </si>
  <si>
    <t>0,3877</t>
  </si>
  <si>
    <t>0,4638</t>
  </si>
  <si>
    <t>1,0000</t>
  </si>
  <si>
    <t>1,0848</t>
  </si>
  <si>
    <t>1,1052</t>
  </si>
  <si>
    <t>0,9322</t>
  </si>
  <si>
    <t>0,9897</t>
  </si>
  <si>
    <t>1,0358</t>
  </si>
  <si>
    <t>1,0354</t>
  </si>
  <si>
    <t>1,0699</t>
  </si>
  <si>
    <t xml:space="preserve"> 1,0214</t>
  </si>
  <si>
    <t>1,2457</t>
  </si>
  <si>
    <t xml:space="preserve"> für den Monat ermittelt in den Jahren 2010 - 2019. /Wetterstation wie oben.</t>
  </si>
  <si>
    <r>
      <rPr>
        <b/>
        <sz val="11"/>
        <color theme="1"/>
        <rFont val="Calibri"/>
        <family val="2"/>
        <scheme val="minor"/>
      </rPr>
      <t>Temp. hist. Ø (Periode), T</t>
    </r>
    <r>
      <rPr>
        <b/>
        <vertAlign val="subscript"/>
        <sz val="11"/>
        <color theme="1"/>
        <rFont val="Calibri"/>
        <family val="2"/>
        <scheme val="minor"/>
      </rPr>
      <t>Ø Periode</t>
    </r>
    <r>
      <rPr>
        <b/>
        <sz val="11"/>
        <color theme="1"/>
        <rFont val="Calibri"/>
        <family val="2"/>
        <scheme val="minor"/>
      </rPr>
      <t xml:space="preserve"> = T5:</t>
    </r>
    <r>
      <rPr>
        <sz val="11"/>
        <color theme="1"/>
        <rFont val="Calibri"/>
        <family val="2"/>
        <scheme val="minor"/>
      </rPr>
      <t xml:space="preserve"> Periodenmittel der Tagesmitteltemperaturen</t>
    </r>
  </si>
  <si>
    <r>
      <t xml:space="preserve">Temp. hist. </t>
    </r>
    <r>
      <rPr>
        <sz val="11"/>
        <rFont val="Arial"/>
        <family val="2"/>
      </rPr>
      <t>Ø (Periode)</t>
    </r>
  </si>
  <si>
    <t>2010-2019</t>
  </si>
  <si>
    <t>Temp. hist. Ø (Periode)</t>
  </si>
  <si>
    <t>enercity Flughafen Netz GmbH</t>
  </si>
  <si>
    <t>9907818000001</t>
  </si>
  <si>
    <t>Ihmeplatz 2</t>
  </si>
  <si>
    <t>Flughafen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</si>
</sst>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vertAlign val="subscript"/>
      <sz val="11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84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2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4" fillId="0" borderId="1" applyNumberFormat="0" applyFill="0" applyAlignment="0" applyProtection="0"/>
    <xf numFmtId="0" fontId="37" fillId="0" borderId="33" applyNumberFormat="0" applyFill="0" applyAlignment="0" applyProtection="0"/>
    <xf numFmtId="0" fontId="5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2" fillId="0" borderId="0"/>
    <xf numFmtId="0" fontId="8" fillId="0" borderId="0"/>
    <xf numFmtId="0" fontId="32" fillId="0" borderId="0"/>
    <xf numFmtId="0" fontId="32" fillId="0" borderId="0"/>
    <xf numFmtId="0" fontId="5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</cellStyleXfs>
  <cellXfs count="36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5" fontId="81" fillId="34" borderId="24" xfId="3" applyNumberFormat="1" applyFont="1" applyFill="1" applyBorder="1" applyAlignment="1" applyProtection="1">
      <alignment horizontal="center" vertical="center"/>
    </xf>
    <xf numFmtId="165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6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2" fillId="0" borderId="0" xfId="3" applyNumberFormat="1" applyFont="1" applyFill="1" applyAlignment="1" applyProtection="1">
      <alignment horizontal="left"/>
      <protection hidden="1"/>
    </xf>
    <xf numFmtId="1" fontId="12" fillId="0" borderId="0" xfId="3" applyNumberFormat="1" applyFont="1" applyFill="1" applyAlignment="1" applyProtection="1">
      <protection hidden="1"/>
    </xf>
    <xf numFmtId="0" fontId="12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2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2" fillId="36" borderId="12" xfId="0" applyFont="1" applyFill="1" applyBorder="1" applyProtection="1"/>
    <xf numFmtId="194" fontId="0" fillId="72" borderId="78" xfId="0" applyNumberFormat="1" applyFont="1" applyFill="1" applyBorder="1" applyAlignment="1" applyProtection="1">
      <alignment horizontal="center" vertical="center"/>
    </xf>
    <xf numFmtId="193" fontId="0" fillId="72" borderId="54" xfId="0" applyNumberFormat="1" applyFont="1" applyFill="1" applyBorder="1" applyAlignment="1" applyProtection="1">
      <alignment horizontal="center" vertical="center"/>
    </xf>
    <xf numFmtId="169" fontId="0" fillId="71" borderId="79" xfId="0" applyNumberFormat="1" applyFont="1" applyFill="1" applyBorder="1" applyAlignment="1" applyProtection="1">
      <alignment horizontal="center" vertical="center"/>
      <protection locked="0"/>
    </xf>
    <xf numFmtId="193" fontId="0" fillId="71" borderId="73" xfId="0" applyNumberFormat="1" applyFont="1" applyFill="1" applyBorder="1" applyAlignment="1" applyProtection="1">
      <alignment horizontal="center" vertical="center"/>
      <protection locked="0"/>
    </xf>
    <xf numFmtId="184" fontId="0" fillId="71" borderId="73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 applyProtection="1">
      <protection hidden="1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37" borderId="0" xfId="0" applyFont="1" applyFill="1" applyBorder="1" applyProtection="1"/>
    <xf numFmtId="0" fontId="0" fillId="37" borderId="12" xfId="0" applyFont="1" applyFill="1" applyBorder="1" applyProtection="1"/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  <xf numFmtId="49" fontId="12" fillId="0" borderId="0" xfId="3" applyNumberFormat="1" applyFont="1" applyFill="1" applyProtection="1">
      <protection hidden="1"/>
    </xf>
  </cellXfs>
  <cellStyles count="184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2 2 2" xfId="153" xr:uid="{00000000-0005-0000-0000-000003000000}"/>
    <cellStyle name="20 % - Akzent1 3" xfId="7" xr:uid="{00000000-0005-0000-0000-000004000000}"/>
    <cellStyle name="20 % - Akzent1 3 2" xfId="154" xr:uid="{00000000-0005-0000-0000-000005000000}"/>
    <cellStyle name="20 % - Akzent2 2" xfId="8" xr:uid="{00000000-0005-0000-0000-000006000000}"/>
    <cellStyle name="20 % - Akzent2 2 2" xfId="9" xr:uid="{00000000-0005-0000-0000-000007000000}"/>
    <cellStyle name="20 % - Akzent2 2 2 2" xfId="155" xr:uid="{00000000-0005-0000-0000-000008000000}"/>
    <cellStyle name="20 % - Akzent2 3" xfId="10" xr:uid="{00000000-0005-0000-0000-000009000000}"/>
    <cellStyle name="20 % - Akzent2 3 2" xfId="156" xr:uid="{00000000-0005-0000-0000-00000A000000}"/>
    <cellStyle name="20 % - Akzent3 2" xfId="11" xr:uid="{00000000-0005-0000-0000-00000B000000}"/>
    <cellStyle name="20 % - Akzent3 2 2" xfId="12" xr:uid="{00000000-0005-0000-0000-00000C000000}"/>
    <cellStyle name="20 % - Akzent3 2 2 2" xfId="157" xr:uid="{00000000-0005-0000-0000-00000D000000}"/>
    <cellStyle name="20 % - Akzent3 3" xfId="13" xr:uid="{00000000-0005-0000-0000-00000E000000}"/>
    <cellStyle name="20 % - Akzent3 3 2" xfId="158" xr:uid="{00000000-0005-0000-0000-00000F000000}"/>
    <cellStyle name="20 % - Akzent4 2" xfId="14" xr:uid="{00000000-0005-0000-0000-000010000000}"/>
    <cellStyle name="20 % - Akzent4 2 2" xfId="15" xr:uid="{00000000-0005-0000-0000-000011000000}"/>
    <cellStyle name="20 % - Akzent4 2 2 2" xfId="159" xr:uid="{00000000-0005-0000-0000-000012000000}"/>
    <cellStyle name="20 % - Akzent4 3" xfId="16" xr:uid="{00000000-0005-0000-0000-000013000000}"/>
    <cellStyle name="20 % - Akzent4 3 2" xfId="160" xr:uid="{00000000-0005-0000-0000-000014000000}"/>
    <cellStyle name="20 % - Akzent5 2" xfId="17" xr:uid="{00000000-0005-0000-0000-000015000000}"/>
    <cellStyle name="20 % - Akzent5 2 2" xfId="18" xr:uid="{00000000-0005-0000-0000-000016000000}"/>
    <cellStyle name="20 % - Akzent5 2 2 2" xfId="161" xr:uid="{00000000-0005-0000-0000-000017000000}"/>
    <cellStyle name="20 % - Akzent5 3" xfId="19" xr:uid="{00000000-0005-0000-0000-000018000000}"/>
    <cellStyle name="20 % - Akzent5 3 2" xfId="162" xr:uid="{00000000-0005-0000-0000-000019000000}"/>
    <cellStyle name="20 % - Akzent6 2" xfId="20" xr:uid="{00000000-0005-0000-0000-00001A000000}"/>
    <cellStyle name="20 % - Akzent6 2 2" xfId="21" xr:uid="{00000000-0005-0000-0000-00001B000000}"/>
    <cellStyle name="20 % - Akzent6 2 2 2" xfId="163" xr:uid="{00000000-0005-0000-0000-00001C000000}"/>
    <cellStyle name="20 % - Akzent6 3" xfId="22" xr:uid="{00000000-0005-0000-0000-00001D000000}"/>
    <cellStyle name="20 % - Akzent6 3 2" xfId="164" xr:uid="{00000000-0005-0000-0000-00001E000000}"/>
    <cellStyle name="40 % - Akzent1 2" xfId="23" xr:uid="{00000000-0005-0000-0000-00001F000000}"/>
    <cellStyle name="40 % - Akzent1 2 2" xfId="24" xr:uid="{00000000-0005-0000-0000-000020000000}"/>
    <cellStyle name="40 % - Akzent1 2 2 2" xfId="165" xr:uid="{00000000-0005-0000-0000-000021000000}"/>
    <cellStyle name="40 % - Akzent1 3" xfId="25" xr:uid="{00000000-0005-0000-0000-000022000000}"/>
    <cellStyle name="40 % - Akzent1 3 2" xfId="166" xr:uid="{00000000-0005-0000-0000-000023000000}"/>
    <cellStyle name="40 % - Akzent2 2" xfId="26" xr:uid="{00000000-0005-0000-0000-000024000000}"/>
    <cellStyle name="40 % - Akzent2 2 2" xfId="27" xr:uid="{00000000-0005-0000-0000-000025000000}"/>
    <cellStyle name="40 % - Akzent2 2 2 2" xfId="167" xr:uid="{00000000-0005-0000-0000-000026000000}"/>
    <cellStyle name="40 % - Akzent2 3" xfId="28" xr:uid="{00000000-0005-0000-0000-000027000000}"/>
    <cellStyle name="40 % - Akzent2 3 2" xfId="168" xr:uid="{00000000-0005-0000-0000-000028000000}"/>
    <cellStyle name="40 % - Akzent3 2" xfId="29" xr:uid="{00000000-0005-0000-0000-000029000000}"/>
    <cellStyle name="40 % - Akzent3 2 2" xfId="30" xr:uid="{00000000-0005-0000-0000-00002A000000}"/>
    <cellStyle name="40 % - Akzent3 2 2 2" xfId="169" xr:uid="{00000000-0005-0000-0000-00002B000000}"/>
    <cellStyle name="40 % - Akzent3 3" xfId="31" xr:uid="{00000000-0005-0000-0000-00002C000000}"/>
    <cellStyle name="40 % - Akzent3 3 2" xfId="170" xr:uid="{00000000-0005-0000-0000-00002D000000}"/>
    <cellStyle name="40 % - Akzent4 2" xfId="32" xr:uid="{00000000-0005-0000-0000-00002E000000}"/>
    <cellStyle name="40 % - Akzent4 2 2" xfId="33" xr:uid="{00000000-0005-0000-0000-00002F000000}"/>
    <cellStyle name="40 % - Akzent4 2 2 2" xfId="171" xr:uid="{00000000-0005-0000-0000-000030000000}"/>
    <cellStyle name="40 % - Akzent4 3" xfId="34" xr:uid="{00000000-0005-0000-0000-000031000000}"/>
    <cellStyle name="40 % - Akzent4 3 2" xfId="172" xr:uid="{00000000-0005-0000-0000-000032000000}"/>
    <cellStyle name="40 % - Akzent5 2" xfId="35" xr:uid="{00000000-0005-0000-0000-000033000000}"/>
    <cellStyle name="40 % - Akzent5 2 2" xfId="36" xr:uid="{00000000-0005-0000-0000-000034000000}"/>
    <cellStyle name="40 % - Akzent5 2 2 2" xfId="173" xr:uid="{00000000-0005-0000-0000-000035000000}"/>
    <cellStyle name="40 % - Akzent5 3" xfId="37" xr:uid="{00000000-0005-0000-0000-000036000000}"/>
    <cellStyle name="40 % - Akzent5 3 2" xfId="174" xr:uid="{00000000-0005-0000-0000-000037000000}"/>
    <cellStyle name="40 % - Akzent6 2" xfId="38" xr:uid="{00000000-0005-0000-0000-000038000000}"/>
    <cellStyle name="40 % - Akzent6 2 2" xfId="39" xr:uid="{00000000-0005-0000-0000-000039000000}"/>
    <cellStyle name="40 % - Akzent6 2 2 2" xfId="175" xr:uid="{00000000-0005-0000-0000-00003A000000}"/>
    <cellStyle name="40 % - Akzent6 3" xfId="40" xr:uid="{00000000-0005-0000-0000-00003B000000}"/>
    <cellStyle name="40 % - Akzent6 3 2" xfId="176" xr:uid="{00000000-0005-0000-0000-00003C000000}"/>
    <cellStyle name="60 % - Akzent1 2" xfId="41" xr:uid="{00000000-0005-0000-0000-00003D000000}"/>
    <cellStyle name="60 % - Akzent1 2 2" xfId="138" xr:uid="{00000000-0005-0000-0000-00003E000000}"/>
    <cellStyle name="60 % - Akzent2 2" xfId="42" xr:uid="{00000000-0005-0000-0000-00003F000000}"/>
    <cellStyle name="60 % - Akzent2 2 2" xfId="140" xr:uid="{00000000-0005-0000-0000-000040000000}"/>
    <cellStyle name="60 % - Akzent3 2" xfId="43" xr:uid="{00000000-0005-0000-0000-000041000000}"/>
    <cellStyle name="60 % - Akzent3 2 2" xfId="142" xr:uid="{00000000-0005-0000-0000-000042000000}"/>
    <cellStyle name="60 % - Akzent4 2" xfId="44" xr:uid="{00000000-0005-0000-0000-000043000000}"/>
    <cellStyle name="60 % - Akzent4 2 2" xfId="144" xr:uid="{00000000-0005-0000-0000-000044000000}"/>
    <cellStyle name="60 % - Akzent5 2" xfId="45" xr:uid="{00000000-0005-0000-0000-000045000000}"/>
    <cellStyle name="60 % - Akzent5 2 2" xfId="146" xr:uid="{00000000-0005-0000-0000-000046000000}"/>
    <cellStyle name="60 % - Akzent6 2" xfId="46" xr:uid="{00000000-0005-0000-0000-000047000000}"/>
    <cellStyle name="60 % - Akzent6 2 2" xfId="148" xr:uid="{00000000-0005-0000-0000-000048000000}"/>
    <cellStyle name="Akzent1 2" xfId="47" xr:uid="{00000000-0005-0000-0000-000049000000}"/>
    <cellStyle name="Akzent1 2 2" xfId="137" xr:uid="{00000000-0005-0000-0000-00004A000000}"/>
    <cellStyle name="Akzent2 2" xfId="48" xr:uid="{00000000-0005-0000-0000-00004B000000}"/>
    <cellStyle name="Akzent2 2 2" xfId="139" xr:uid="{00000000-0005-0000-0000-00004C000000}"/>
    <cellStyle name="Akzent3 2" xfId="49" xr:uid="{00000000-0005-0000-0000-00004D000000}"/>
    <cellStyle name="Akzent3 2 2" xfId="141" xr:uid="{00000000-0005-0000-0000-00004E000000}"/>
    <cellStyle name="Akzent4 2" xfId="50" xr:uid="{00000000-0005-0000-0000-00004F000000}"/>
    <cellStyle name="Akzent4 2 2" xfId="143" xr:uid="{00000000-0005-0000-0000-000050000000}"/>
    <cellStyle name="Akzent5 2" xfId="51" xr:uid="{00000000-0005-0000-0000-000051000000}"/>
    <cellStyle name="Akzent5 2 2" xfId="145" xr:uid="{00000000-0005-0000-0000-000052000000}"/>
    <cellStyle name="Akzent6 2" xfId="52" xr:uid="{00000000-0005-0000-0000-000053000000}"/>
    <cellStyle name="Akzent6 2 2" xfId="147" xr:uid="{00000000-0005-0000-0000-000054000000}"/>
    <cellStyle name="Ausgabe 2" xfId="53" xr:uid="{00000000-0005-0000-0000-000055000000}"/>
    <cellStyle name="Ausgabe 2 2" xfId="130" xr:uid="{00000000-0005-0000-0000-000056000000}"/>
    <cellStyle name="Berechnung 2" xfId="54" xr:uid="{00000000-0005-0000-0000-000057000000}"/>
    <cellStyle name="Berechnung 2 2" xfId="131" xr:uid="{00000000-0005-0000-0000-000058000000}"/>
    <cellStyle name="Comma [0]" xfId="55" xr:uid="{00000000-0005-0000-0000-000059000000}"/>
    <cellStyle name="Currency [0]" xfId="56" xr:uid="{00000000-0005-0000-0000-00005A000000}"/>
    <cellStyle name="Datum" xfId="57" xr:uid="{00000000-0005-0000-0000-00005B000000}"/>
    <cellStyle name="Datum [0]" xfId="58" xr:uid="{00000000-0005-0000-0000-00005C000000}"/>
    <cellStyle name="Eingabe 2" xfId="59" xr:uid="{00000000-0005-0000-0000-00005D000000}"/>
    <cellStyle name="Eingabe 2 2" xfId="129" xr:uid="{00000000-0005-0000-0000-00005E000000}"/>
    <cellStyle name="Ergebnis 2" xfId="60" xr:uid="{00000000-0005-0000-0000-00005F000000}"/>
    <cellStyle name="Ergebnis 2 2" xfId="136" xr:uid="{00000000-0005-0000-0000-000060000000}"/>
    <cellStyle name="Erklärender Text 2" xfId="61" xr:uid="{00000000-0005-0000-0000-000061000000}"/>
    <cellStyle name="Erklärender Text 2 2" xfId="135" xr:uid="{00000000-0005-0000-0000-000062000000}"/>
    <cellStyle name="Euro" xfId="62" xr:uid="{00000000-0005-0000-0000-000063000000}"/>
    <cellStyle name="Euro 2" xfId="111" xr:uid="{00000000-0005-0000-0000-000064000000}"/>
    <cellStyle name="Fest" xfId="63" xr:uid="{00000000-0005-0000-0000-000065000000}"/>
    <cellStyle name="Gut 2" xfId="64" xr:uid="{00000000-0005-0000-0000-000066000000}"/>
    <cellStyle name="Gut 2 2" xfId="126" xr:uid="{00000000-0005-0000-0000-000067000000}"/>
    <cellStyle name="Helv 08" xfId="65" xr:uid="{00000000-0005-0000-0000-000068000000}"/>
    <cellStyle name="Helv 12 fett" xfId="66" xr:uid="{00000000-0005-0000-0000-000069000000}"/>
    <cellStyle name="Helv 14 fett" xfId="67" xr:uid="{00000000-0005-0000-0000-00006A000000}"/>
    <cellStyle name="Helv 18 fett" xfId="68" xr:uid="{00000000-0005-0000-0000-00006B000000}"/>
    <cellStyle name="Komma" xfId="1" builtinId="3"/>
    <cellStyle name="Komma 2" xfId="69" xr:uid="{00000000-0005-0000-0000-00006D000000}"/>
    <cellStyle name="Komma 2 2" xfId="151" xr:uid="{00000000-0005-0000-0000-00006E000000}"/>
    <cellStyle name="Komma 3" xfId="70" xr:uid="{00000000-0005-0000-0000-00006F000000}"/>
    <cellStyle name="Kopfzeile1" xfId="71" xr:uid="{00000000-0005-0000-0000-000070000000}"/>
    <cellStyle name="Kopfzeile2" xfId="72" xr:uid="{00000000-0005-0000-0000-000071000000}"/>
    <cellStyle name="Link" xfId="152" builtinId="8"/>
    <cellStyle name="Neutral 2" xfId="73" xr:uid="{00000000-0005-0000-0000-000073000000}"/>
    <cellStyle name="Neutral 2 2" xfId="128" xr:uid="{00000000-0005-0000-0000-000074000000}"/>
    <cellStyle name="Notiz 2" xfId="74" xr:uid="{00000000-0005-0000-0000-000075000000}"/>
    <cellStyle name="Notiz 2 2" xfId="75" xr:uid="{00000000-0005-0000-0000-000076000000}"/>
    <cellStyle name="Notiz 2 2 2" xfId="177" xr:uid="{00000000-0005-0000-0000-000077000000}"/>
    <cellStyle name="Notiz 2 3" xfId="76" xr:uid="{00000000-0005-0000-0000-000078000000}"/>
    <cellStyle name="Notiz 2 3 2" xfId="178" xr:uid="{00000000-0005-0000-0000-000079000000}"/>
    <cellStyle name="Notiz 3" xfId="77" xr:uid="{00000000-0005-0000-0000-00007A000000}"/>
    <cellStyle name="Notiz 3 2" xfId="179" xr:uid="{00000000-0005-0000-0000-00007B000000}"/>
    <cellStyle name="Notiz 4" xfId="78" xr:uid="{00000000-0005-0000-0000-00007C000000}"/>
    <cellStyle name="Notiz 4 2" xfId="180" xr:uid="{00000000-0005-0000-0000-00007D000000}"/>
    <cellStyle name="Prozent 2" xfId="79" xr:uid="{00000000-0005-0000-0000-00007E000000}"/>
    <cellStyle name="Prozent 2 2" xfId="112" xr:uid="{00000000-0005-0000-0000-00007F000000}"/>
    <cellStyle name="Prozent 3" xfId="80" xr:uid="{00000000-0005-0000-0000-000080000000}"/>
    <cellStyle name="Prozent[1]" xfId="81" xr:uid="{00000000-0005-0000-0000-000081000000}"/>
    <cellStyle name="Prozent[2]" xfId="82" xr:uid="{00000000-0005-0000-0000-000082000000}"/>
    <cellStyle name="Schattiert" xfId="83" xr:uid="{00000000-0005-0000-0000-000083000000}"/>
    <cellStyle name="Schlecht 2" xfId="84" xr:uid="{00000000-0005-0000-0000-000084000000}"/>
    <cellStyle name="Schlecht 2 2" xfId="127" xr:uid="{00000000-0005-0000-0000-000085000000}"/>
    <cellStyle name="Standard" xfId="0" builtinId="0"/>
    <cellStyle name="Standard 2" xfId="85" xr:uid="{00000000-0005-0000-0000-000087000000}"/>
    <cellStyle name="Standard 2 2" xfId="3" xr:uid="{00000000-0005-0000-0000-000088000000}"/>
    <cellStyle name="Standard 2 2 2" xfId="119" xr:uid="{00000000-0005-0000-0000-000089000000}"/>
    <cellStyle name="Standard 2 2 3" xfId="114" xr:uid="{00000000-0005-0000-0000-00008A000000}"/>
    <cellStyle name="Standard 2 3" xfId="86" xr:uid="{00000000-0005-0000-0000-00008B000000}"/>
    <cellStyle name="Standard 2 4" xfId="118" xr:uid="{00000000-0005-0000-0000-00008C000000}"/>
    <cellStyle name="Standard 2 5" xfId="113" xr:uid="{00000000-0005-0000-0000-00008D000000}"/>
    <cellStyle name="Standard 3" xfId="87" xr:uid="{00000000-0005-0000-0000-00008E000000}"/>
    <cellStyle name="Standard 3 2" xfId="88" xr:uid="{00000000-0005-0000-0000-00008F000000}"/>
    <cellStyle name="Standard 3 2 2" xfId="89" xr:uid="{00000000-0005-0000-0000-000090000000}"/>
    <cellStyle name="Standard 3 2 2 2" xfId="121" xr:uid="{00000000-0005-0000-0000-000091000000}"/>
    <cellStyle name="Standard 3 3" xfId="90" xr:uid="{00000000-0005-0000-0000-000092000000}"/>
    <cellStyle name="Standard 3 3 2" xfId="120" xr:uid="{00000000-0005-0000-0000-000093000000}"/>
    <cellStyle name="Standard 3 4" xfId="115" xr:uid="{00000000-0005-0000-0000-000094000000}"/>
    <cellStyle name="Standard 3 4 2" xfId="182" xr:uid="{00000000-0005-0000-0000-000095000000}"/>
    <cellStyle name="Standard 4" xfId="91" xr:uid="{00000000-0005-0000-0000-000096000000}"/>
    <cellStyle name="Standard 4 2" xfId="92" xr:uid="{00000000-0005-0000-0000-000097000000}"/>
    <cellStyle name="Standard 4 2 2" xfId="149" xr:uid="{00000000-0005-0000-0000-000098000000}"/>
    <cellStyle name="Standard 4 2 2 2" xfId="183" xr:uid="{00000000-0005-0000-0000-000099000000}"/>
    <cellStyle name="Standard 4 3" xfId="181" xr:uid="{00000000-0005-0000-0000-00009A000000}"/>
    <cellStyle name="Standard 5" xfId="93" xr:uid="{00000000-0005-0000-0000-00009B000000}"/>
    <cellStyle name="Standard 5 2" xfId="150" xr:uid="{00000000-0005-0000-0000-00009C000000}"/>
    <cellStyle name="Standard 5 3" xfId="110" xr:uid="{00000000-0005-0000-0000-00009D000000}"/>
    <cellStyle name="Standard 6" xfId="117" xr:uid="{00000000-0005-0000-0000-00009E000000}"/>
    <cellStyle name="Summe" xfId="94" xr:uid="{00000000-0005-0000-0000-00009F000000}"/>
    <cellStyle name="test1" xfId="95" xr:uid="{00000000-0005-0000-0000-0000A0000000}"/>
    <cellStyle name="Überschrift" xfId="2" builtinId="15" customBuiltin="1"/>
    <cellStyle name="Überschrift 1 2" xfId="96" xr:uid="{00000000-0005-0000-0000-0000A2000000}"/>
    <cellStyle name="Überschrift 1 3" xfId="97" xr:uid="{00000000-0005-0000-0000-0000A3000000}"/>
    <cellStyle name="Überschrift 1 3 2" xfId="123" xr:uid="{00000000-0005-0000-0000-0000A4000000}"/>
    <cellStyle name="Überschrift 2 2" xfId="98" xr:uid="{00000000-0005-0000-0000-0000A5000000}"/>
    <cellStyle name="Überschrift 2 2 2" xfId="122" xr:uid="{00000000-0005-0000-0000-0000A6000000}"/>
    <cellStyle name="Überschrift 2 2 3" xfId="116" xr:uid="{00000000-0005-0000-0000-0000A7000000}"/>
    <cellStyle name="Überschrift 2 3" xfId="99" xr:uid="{00000000-0005-0000-0000-0000A8000000}"/>
    <cellStyle name="Überschrift 3 2" xfId="100" xr:uid="{00000000-0005-0000-0000-0000A9000000}"/>
    <cellStyle name="Überschrift 3 2 2" xfId="124" xr:uid="{00000000-0005-0000-0000-0000AA000000}"/>
    <cellStyle name="Überschrift 4 2" xfId="101" xr:uid="{00000000-0005-0000-0000-0000AB000000}"/>
    <cellStyle name="Überschrift 4 3" xfId="102" xr:uid="{00000000-0005-0000-0000-0000AC000000}"/>
    <cellStyle name="Überschrift 4 3 2" xfId="125" xr:uid="{00000000-0005-0000-0000-0000AD000000}"/>
    <cellStyle name="Überschrift 5" xfId="103" xr:uid="{00000000-0005-0000-0000-0000AE000000}"/>
    <cellStyle name="Undefiniert" xfId="104" xr:uid="{00000000-0005-0000-0000-0000AF000000}"/>
    <cellStyle name="verborgen" xfId="105" xr:uid="{00000000-0005-0000-0000-0000B0000000}"/>
    <cellStyle name="Verknüpfte Zelle 2" xfId="106" xr:uid="{00000000-0005-0000-0000-0000B1000000}"/>
    <cellStyle name="Verknüpfte Zelle 2 2" xfId="132" xr:uid="{00000000-0005-0000-0000-0000B2000000}"/>
    <cellStyle name="Whrung" xfId="107" xr:uid="{00000000-0005-0000-0000-0000B3000000}"/>
    <cellStyle name="Warnender Text 2" xfId="108" xr:uid="{00000000-0005-0000-0000-0000B4000000}"/>
    <cellStyle name="Warnender Text 2 2" xfId="134" xr:uid="{00000000-0005-0000-0000-0000B5000000}"/>
    <cellStyle name="Zelle überprüfen 2" xfId="109" xr:uid="{00000000-0005-0000-0000-0000B6000000}"/>
    <cellStyle name="Zelle überprüfen 2 2" xfId="133" xr:uid="{00000000-0005-0000-0000-0000B7000000}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5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4027329</xdr:colOff>
      <xdr:row>0</xdr:row>
      <xdr:rowOff>791210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2027079</xdr:colOff>
      <xdr:row>0</xdr:row>
      <xdr:rowOff>810895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598329</xdr:colOff>
      <xdr:row>0</xdr:row>
      <xdr:rowOff>791210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2027079</xdr:colOff>
      <xdr:row>0</xdr:row>
      <xdr:rowOff>810895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788035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288258</xdr:colOff>
      <xdr:row>39</xdr:row>
      <xdr:rowOff>4117</xdr:rowOff>
    </xdr:from>
    <xdr:to>
      <xdr:col>14</xdr:col>
      <xdr:colOff>2190750</xdr:colOff>
      <xdr:row>45</xdr:row>
      <xdr:rowOff>134283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779365" y="8821546"/>
          <a:ext cx="3698635" cy="13139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A32" sqref="A32"/>
    </sheetView>
  </sheetViews>
  <sheetFormatPr baseColWidth="10" defaultColWidth="0" defaultRowHeight="14.5" zeroHeight="1"/>
  <cols>
    <col min="1" max="1" width="2.81640625" customWidth="1"/>
    <col min="2" max="15" width="11.453125" customWidth="1"/>
    <col min="16" max="16384" width="11.453125" hidden="1"/>
  </cols>
  <sheetData>
    <row r="1" spans="2:7" ht="75.75" customHeight="1"/>
    <row r="2" spans="2:7" ht="23.5">
      <c r="B2" s="9" t="s">
        <v>467</v>
      </c>
    </row>
    <row r="3" spans="2:7"/>
    <row r="4" spans="2:7">
      <c r="B4" s="8" t="s">
        <v>462</v>
      </c>
    </row>
    <row r="5" spans="2:7">
      <c r="B5" s="8" t="s">
        <v>463</v>
      </c>
    </row>
    <row r="6" spans="2:7"/>
    <row r="7" spans="2:7">
      <c r="B7" t="s">
        <v>338</v>
      </c>
    </row>
    <row r="8" spans="2:7" s="8" customFormat="1">
      <c r="B8" s="8" t="s">
        <v>464</v>
      </c>
    </row>
    <row r="9" spans="2:7" s="8" customFormat="1"/>
    <row r="10" spans="2:7" s="8" customFormat="1">
      <c r="B10" s="14" t="s">
        <v>449</v>
      </c>
    </row>
    <row r="11" spans="2:7" s="8" customFormat="1">
      <c r="B11" s="8" t="s">
        <v>500</v>
      </c>
    </row>
    <row r="12" spans="2:7" s="8" customFormat="1">
      <c r="B12" s="8" t="s">
        <v>501</v>
      </c>
    </row>
    <row r="13" spans="2:7" s="8" customFormat="1">
      <c r="B13" s="8" t="s">
        <v>507</v>
      </c>
    </row>
    <row r="14" spans="2:7" s="8" customFormat="1"/>
    <row r="15" spans="2:7">
      <c r="B15" s="20" t="s">
        <v>466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465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42191</v>
      </c>
      <c r="E29" s="8"/>
      <c r="F29" s="8"/>
      <c r="G29" s="8"/>
      <c r="H29" s="8"/>
    </row>
    <row r="30" spans="2:12">
      <c r="B30" s="21" t="s">
        <v>348</v>
      </c>
      <c r="C30" s="328" t="s">
        <v>651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5" sqref="D5"/>
    </sheetView>
  </sheetViews>
  <sheetFormatPr baseColWidth="10" defaultColWidth="0" defaultRowHeight="14.5" zeroHeight="1"/>
  <cols>
    <col min="1" max="1" width="2.81640625" style="8" customWidth="1"/>
    <col min="2" max="2" width="5.81640625" style="2" customWidth="1"/>
    <col min="3" max="3" width="65" customWidth="1"/>
    <col min="4" max="4" width="49.1796875" customWidth="1"/>
    <col min="5" max="5" width="11.453125" customWidth="1"/>
    <col min="6" max="6" width="75.7265625" hidden="1" customWidth="1"/>
    <col min="7" max="16384" width="11.453125" hidden="1"/>
  </cols>
  <sheetData>
    <row r="1" spans="1:8" s="8" customFormat="1" ht="75.75" customHeight="1"/>
    <row r="2" spans="1:8" s="8" customFormat="1" ht="23.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655</v>
      </c>
      <c r="D4" s="27">
        <v>44927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654</v>
      </c>
      <c r="D6" s="27">
        <v>44927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860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487</v>
      </c>
      <c r="D11" s="332" t="s">
        <v>861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862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30449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656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657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658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659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488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461</v>
      </c>
      <c r="D27" s="42" t="s">
        <v>396</v>
      </c>
      <c r="E27" s="39"/>
      <c r="F27" s="11"/>
    </row>
    <row r="28" spans="1:15">
      <c r="B28" s="15"/>
      <c r="C28" s="65" t="s">
        <v>503</v>
      </c>
      <c r="D28" s="48" t="str">
        <f>IF(D27&lt;&gt;C28,VLOOKUP(D27,$C$29:$D$48,2,FALSE),C28)</f>
        <v>Flughafen</v>
      </c>
      <c r="E28" s="38"/>
      <c r="F28" s="11"/>
      <c r="G28" s="2"/>
    </row>
    <row r="29" spans="1:15">
      <c r="B29" s="15"/>
      <c r="C29" s="22" t="s">
        <v>396</v>
      </c>
      <c r="D29" s="45" t="s">
        <v>863</v>
      </c>
      <c r="E29" s="40"/>
      <c r="F29" s="11"/>
      <c r="G29" s="2"/>
    </row>
    <row r="30" spans="1:15">
      <c r="B30" s="15"/>
      <c r="C30" s="22" t="s">
        <v>397</v>
      </c>
      <c r="D30" s="45"/>
      <c r="E30" s="40"/>
      <c r="F30" s="47"/>
      <c r="G30" s="2"/>
    </row>
    <row r="31" spans="1:15">
      <c r="B31" s="15"/>
      <c r="C31" s="22" t="s">
        <v>422</v>
      </c>
      <c r="D31" s="46"/>
      <c r="E31" s="40"/>
      <c r="F31" s="47"/>
      <c r="G31" s="2"/>
    </row>
    <row r="32" spans="1:15">
      <c r="B32" s="15"/>
      <c r="C32" s="22" t="s">
        <v>423</v>
      </c>
      <c r="D32" s="46"/>
      <c r="E32" s="40"/>
      <c r="F32" s="47"/>
      <c r="G32" s="2"/>
    </row>
    <row r="33" spans="2:7">
      <c r="B33" s="15"/>
      <c r="C33" s="22" t="s">
        <v>424</v>
      </c>
      <c r="D33" s="45"/>
      <c r="E33" s="40"/>
      <c r="F33" s="47"/>
      <c r="G33" s="2"/>
    </row>
    <row r="34" spans="2:7">
      <c r="B34" s="15"/>
      <c r="C34" s="22" t="s">
        <v>425</v>
      </c>
      <c r="D34" s="46"/>
      <c r="E34" s="40"/>
      <c r="F34" s="47"/>
      <c r="G34" s="2"/>
    </row>
    <row r="35" spans="2:7">
      <c r="B35" s="15"/>
      <c r="C35" s="22" t="s">
        <v>426</v>
      </c>
      <c r="D35" s="46"/>
      <c r="E35" s="40"/>
      <c r="F35" s="47"/>
      <c r="G35" s="2"/>
    </row>
    <row r="36" spans="2:7">
      <c r="B36" s="15"/>
      <c r="C36" s="22" t="s">
        <v>427</v>
      </c>
      <c r="D36" s="46"/>
      <c r="E36" s="40"/>
      <c r="F36" s="47"/>
      <c r="G36" s="2"/>
    </row>
    <row r="37" spans="2:7">
      <c r="B37" s="15"/>
      <c r="C37" s="22" t="s">
        <v>428</v>
      </c>
      <c r="D37" s="46"/>
      <c r="E37" s="40"/>
      <c r="F37" s="47"/>
      <c r="G37" s="2"/>
    </row>
    <row r="38" spans="2:7">
      <c r="B38" s="15"/>
      <c r="C38" s="22" t="s">
        <v>433</v>
      </c>
      <c r="D38" s="46"/>
      <c r="E38" s="40"/>
      <c r="F38" s="47"/>
      <c r="G38" s="2"/>
    </row>
    <row r="39" spans="2:7">
      <c r="B39" s="15"/>
      <c r="C39" s="22" t="s">
        <v>434</v>
      </c>
      <c r="D39" s="46"/>
      <c r="E39" s="40"/>
      <c r="F39" s="47"/>
      <c r="G39" s="2"/>
    </row>
    <row r="40" spans="2:7">
      <c r="B40" s="15"/>
      <c r="C40" s="22" t="s">
        <v>435</v>
      </c>
      <c r="D40" s="46"/>
      <c r="E40" s="40"/>
      <c r="F40" s="47"/>
      <c r="G40" s="2"/>
    </row>
    <row r="41" spans="2:7">
      <c r="B41" s="15"/>
      <c r="C41" s="22" t="s">
        <v>436</v>
      </c>
      <c r="D41" s="46"/>
      <c r="E41" s="40"/>
      <c r="F41" s="47"/>
      <c r="G41" s="2"/>
    </row>
    <row r="42" spans="2:7">
      <c r="B42" s="15"/>
      <c r="C42" s="22" t="s">
        <v>437</v>
      </c>
      <c r="D42" s="46"/>
      <c r="E42" s="40"/>
      <c r="F42" s="47"/>
      <c r="G42" s="2"/>
    </row>
    <row r="43" spans="2:7">
      <c r="B43" s="15"/>
      <c r="C43" s="22" t="s">
        <v>438</v>
      </c>
      <c r="D43" s="46"/>
      <c r="E43" s="40"/>
      <c r="F43" s="47"/>
      <c r="G43" s="2"/>
    </row>
    <row r="44" spans="2:7">
      <c r="B44" s="15"/>
      <c r="C44" s="22" t="s">
        <v>439</v>
      </c>
      <c r="D44" s="46"/>
      <c r="E44" s="40"/>
      <c r="F44" s="47"/>
      <c r="G44" s="2"/>
    </row>
    <row r="45" spans="2:7">
      <c r="B45" s="15"/>
      <c r="C45" s="22" t="s">
        <v>440</v>
      </c>
      <c r="D45" s="46"/>
      <c r="E45" s="40"/>
      <c r="F45" s="47"/>
      <c r="G45" s="2"/>
    </row>
    <row r="46" spans="2:7">
      <c r="B46" s="15"/>
      <c r="C46" s="22" t="s">
        <v>441</v>
      </c>
      <c r="D46" s="46"/>
      <c r="E46" s="40"/>
      <c r="F46" s="47"/>
    </row>
    <row r="47" spans="2:7">
      <c r="B47" s="15"/>
      <c r="C47" s="22" t="s">
        <v>442</v>
      </c>
      <c r="D47" s="46"/>
      <c r="E47" s="40"/>
      <c r="F47" s="47"/>
    </row>
    <row r="48" spans="2:7">
      <c r="B48" s="15"/>
      <c r="C48" s="22" t="s">
        <v>443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display="max.mustermann@muster.de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XFC62"/>
  <sheetViews>
    <sheetView showGridLines="0" zoomScale="80" zoomScaleNormal="80" workbookViewId="0">
      <selection activeCell="D11" sqref="D11"/>
    </sheetView>
  </sheetViews>
  <sheetFormatPr baseColWidth="10" defaultColWidth="0" defaultRowHeight="18" customHeight="1"/>
  <cols>
    <col min="1" max="1" width="2.81640625" style="8" customWidth="1"/>
    <col min="2" max="2" width="5.81640625" style="8" customWidth="1"/>
    <col min="3" max="3" width="51.453125" style="8" customWidth="1"/>
    <col min="4" max="4" width="33.1796875" style="8" customWidth="1"/>
    <col min="5" max="5" width="28" style="8" customWidth="1"/>
    <col min="6" max="39" width="8.81640625" style="13" hidden="1"/>
    <col min="40" max="16383" width="8.81640625" style="8" hidden="1"/>
    <col min="16384" max="16384" width="10" style="8" hidden="1"/>
  </cols>
  <sheetData>
    <row r="1" spans="2:15" ht="75" customHeight="1"/>
    <row r="2" spans="2:15" ht="23.5">
      <c r="B2" s="9" t="s">
        <v>269</v>
      </c>
    </row>
    <row r="3" spans="2:15" ht="14.5"/>
    <row r="4" spans="2:15" ht="14.5">
      <c r="B4" s="15"/>
      <c r="C4" s="15"/>
      <c r="D4" s="15"/>
      <c r="E4" s="15"/>
    </row>
    <row r="5" spans="2:15" ht="15" customHeight="1">
      <c r="B5" s="22"/>
      <c r="C5" s="56" t="s">
        <v>447</v>
      </c>
      <c r="D5" s="58" t="str">
        <f>Netzbetreiber!$D$9</f>
        <v>enercity Flughafen Netz GmbH</v>
      </c>
      <c r="H5" s="67"/>
      <c r="I5" s="67"/>
      <c r="J5" s="67"/>
      <c r="K5" s="67"/>
    </row>
    <row r="6" spans="2:15" ht="15" customHeight="1">
      <c r="B6" s="22"/>
      <c r="C6" s="61" t="s">
        <v>446</v>
      </c>
      <c r="D6" s="58" t="str">
        <f>Netzbetreiber!D28</f>
        <v>Flughafen</v>
      </c>
      <c r="E6" s="15"/>
      <c r="H6" s="67"/>
      <c r="I6" s="67"/>
      <c r="J6" s="67"/>
      <c r="K6" s="67"/>
    </row>
    <row r="7" spans="2:15" ht="15" customHeight="1">
      <c r="B7" s="22"/>
      <c r="C7" s="60" t="s">
        <v>489</v>
      </c>
      <c r="D7" s="329" t="str">
        <f>Netzbetreiber!$D$11</f>
        <v>9907818000001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44927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5"/>
      <c r="G9" s="266"/>
      <c r="H9" s="267"/>
      <c r="I9" s="267"/>
      <c r="J9" s="267"/>
      <c r="K9" s="267"/>
      <c r="L9" s="266"/>
      <c r="M9" s="266"/>
      <c r="N9" s="266"/>
      <c r="O9" s="26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72" t="s">
        <v>256</v>
      </c>
      <c r="I11" s="272" t="s">
        <v>259</v>
      </c>
      <c r="J11" s="272" t="s">
        <v>260</v>
      </c>
      <c r="K11" s="67" t="s">
        <v>664</v>
      </c>
    </row>
    <row r="12" spans="2:15" ht="15" customHeight="1">
      <c r="B12" s="22"/>
      <c r="C12" s="5"/>
      <c r="D12" s="15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616</v>
      </c>
      <c r="D13" s="33" t="s">
        <v>618</v>
      </c>
      <c r="E13" s="15"/>
      <c r="H13" s="272" t="s">
        <v>617</v>
      </c>
      <c r="I13" s="272" t="s">
        <v>618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432</v>
      </c>
      <c r="D15" s="42" t="s">
        <v>663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431</v>
      </c>
      <c r="D16" s="42" t="s">
        <v>662</v>
      </c>
      <c r="E16" s="15"/>
      <c r="H16" s="268"/>
      <c r="I16" s="268"/>
      <c r="J16" s="268"/>
      <c r="K16" s="268"/>
      <c r="L16" s="269"/>
    </row>
    <row r="17" spans="2:16" ht="15" customHeight="1">
      <c r="B17" s="22"/>
      <c r="C17" s="5"/>
      <c r="D17" s="29"/>
      <c r="E17" s="15"/>
      <c r="H17" s="268"/>
      <c r="I17" s="268"/>
      <c r="J17" s="268"/>
      <c r="K17" s="268"/>
      <c r="L17" s="269"/>
    </row>
    <row r="18" spans="2:16" ht="15" customHeight="1">
      <c r="B18" s="7" t="s">
        <v>84</v>
      </c>
      <c r="C18" s="31" t="s">
        <v>369</v>
      </c>
      <c r="D18" s="49" t="s">
        <v>257</v>
      </c>
      <c r="E18" s="15"/>
      <c r="H18" s="270" t="s">
        <v>257</v>
      </c>
      <c r="I18" s="270" t="s">
        <v>135</v>
      </c>
      <c r="J18" s="268"/>
      <c r="K18" s="268"/>
      <c r="L18" s="26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1" t="s">
        <v>576</v>
      </c>
      <c r="I19" s="271" t="s">
        <v>490</v>
      </c>
      <c r="J19" s="268"/>
      <c r="K19" s="268"/>
      <c r="L19" s="26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1" t="s">
        <v>491</v>
      </c>
      <c r="I20" s="271" t="s">
        <v>492</v>
      </c>
      <c r="J20" s="268"/>
      <c r="K20" s="268"/>
      <c r="L20" s="269"/>
    </row>
    <row r="21" spans="2:16" ht="15" customHeight="1">
      <c r="B21" s="22"/>
      <c r="C21" s="32"/>
      <c r="D21" s="16"/>
      <c r="E21" s="15"/>
      <c r="H21" s="271"/>
      <c r="I21" s="271"/>
      <c r="J21" s="268"/>
      <c r="K21" s="268"/>
      <c r="L21" s="269"/>
    </row>
    <row r="22" spans="2:16" ht="15" customHeight="1">
      <c r="B22" s="7" t="s">
        <v>85</v>
      </c>
      <c r="C22" s="8" t="s">
        <v>614</v>
      </c>
      <c r="D22" s="49" t="s">
        <v>610</v>
      </c>
      <c r="E22" s="15"/>
      <c r="H22" s="268" t="s">
        <v>610</v>
      </c>
      <c r="I22" s="268" t="s">
        <v>611</v>
      </c>
      <c r="J22" s="268"/>
      <c r="K22" s="8"/>
      <c r="L22" s="269"/>
    </row>
    <row r="23" spans="2:16" ht="15" customHeight="1">
      <c r="B23" s="7"/>
      <c r="C23" s="8" t="str">
        <f>HLOOKUP(D22,H22:I23,2,0)</f>
        <v>nach TU-München Verfahren</v>
      </c>
      <c r="D23" s="49" t="s">
        <v>619</v>
      </c>
      <c r="E23" s="15"/>
      <c r="H23" s="268" t="s">
        <v>613</v>
      </c>
      <c r="I23" s="8" t="s">
        <v>609</v>
      </c>
      <c r="J23" s="8"/>
      <c r="K23" s="8"/>
      <c r="L23" s="269"/>
    </row>
    <row r="24" spans="2:16" ht="15" customHeight="1">
      <c r="B24" s="22"/>
      <c r="C24" s="24" t="s">
        <v>615</v>
      </c>
      <c r="D24" s="24" t="str">
        <f>IF(D22=$H$22,L24,IF(D23=$H$24,M24,N24))</f>
        <v>=&gt;  Q(D) = KW  x  h(T, SLP-Typ)  x  F(WT)</v>
      </c>
      <c r="E24" s="15"/>
      <c r="H24" s="268" t="s">
        <v>612</v>
      </c>
      <c r="I24" s="268" t="s">
        <v>619</v>
      </c>
      <c r="J24" s="8"/>
      <c r="K24" s="8"/>
      <c r="L24" s="271" t="s">
        <v>620</v>
      </c>
      <c r="M24" s="271" t="s">
        <v>622</v>
      </c>
      <c r="N24" s="271" t="s">
        <v>621</v>
      </c>
      <c r="O24" s="8"/>
      <c r="P24" s="269"/>
    </row>
    <row r="25" spans="2:16" ht="15" customHeight="1">
      <c r="B25" s="22"/>
      <c r="C25" s="24"/>
      <c r="D25" s="15"/>
      <c r="E25" s="15"/>
      <c r="H25" s="268"/>
      <c r="I25" s="268"/>
      <c r="J25" s="268"/>
      <c r="K25" s="268"/>
      <c r="L25" s="269"/>
    </row>
    <row r="26" spans="2:16" ht="15" customHeight="1">
      <c r="B26" s="7" t="s">
        <v>371</v>
      </c>
      <c r="C26" s="6" t="s">
        <v>579</v>
      </c>
      <c r="D26" s="42" t="s">
        <v>134</v>
      </c>
      <c r="E26" s="15"/>
      <c r="H26" s="270" t="s">
        <v>134</v>
      </c>
      <c r="I26" s="270" t="s">
        <v>136</v>
      </c>
      <c r="J26" s="268"/>
      <c r="K26" s="268"/>
      <c r="L26" s="269"/>
    </row>
    <row r="27" spans="2:16" ht="15" customHeight="1">
      <c r="B27" s="7"/>
      <c r="C27" s="6" t="s">
        <v>623</v>
      </c>
      <c r="D27" s="42" t="s">
        <v>624</v>
      </c>
      <c r="E27" s="15"/>
      <c r="H27" s="298" t="s">
        <v>624</v>
      </c>
      <c r="I27" s="270" t="s">
        <v>625</v>
      </c>
      <c r="J27" s="270" t="s">
        <v>626</v>
      </c>
      <c r="K27" s="268"/>
      <c r="L27" s="269"/>
    </row>
    <row r="28" spans="2:16" ht="15" customHeight="1">
      <c r="B28" s="22"/>
      <c r="C28" s="15" t="str">
        <f>HLOOKUP(D27,H27:J28,2,0)</f>
        <v>=&gt; Q(Allokation)  =  Q(Synth.);    F(kor) = 1</v>
      </c>
      <c r="D28" s="299">
        <v>1</v>
      </c>
      <c r="E28" s="15"/>
      <c r="H28" s="271" t="s">
        <v>627</v>
      </c>
      <c r="I28" s="271" t="s">
        <v>628</v>
      </c>
      <c r="J28" s="271" t="s">
        <v>629</v>
      </c>
      <c r="K28" s="268"/>
      <c r="L28" s="269"/>
    </row>
    <row r="29" spans="2:16" ht="15" customHeight="1">
      <c r="B29" s="22"/>
      <c r="C29" s="15" t="str">
        <f>HLOOKUP(D27,H27:J29,3,0)</f>
        <v xml:space="preserve"> </v>
      </c>
      <c r="D29" s="300"/>
      <c r="E29" s="15"/>
      <c r="H29" s="271" t="s">
        <v>630</v>
      </c>
      <c r="I29" s="271" t="s">
        <v>631</v>
      </c>
      <c r="J29" s="271" t="s">
        <v>632</v>
      </c>
      <c r="K29" s="268"/>
      <c r="L29" s="269"/>
    </row>
    <row r="30" spans="2:16" ht="15" customHeight="1">
      <c r="B30" s="22"/>
      <c r="C30" s="24"/>
      <c r="D30" s="15"/>
      <c r="E30" s="15"/>
      <c r="H30" s="268"/>
      <c r="I30" s="268"/>
      <c r="J30" s="268"/>
      <c r="K30" s="268"/>
      <c r="L30" s="269"/>
    </row>
    <row r="31" spans="2:16" ht="15" customHeight="1">
      <c r="B31" s="7" t="s">
        <v>495</v>
      </c>
      <c r="C31" s="6" t="s">
        <v>578</v>
      </c>
      <c r="D31" s="42" t="s">
        <v>136</v>
      </c>
      <c r="E31" s="15"/>
      <c r="H31" s="270" t="s">
        <v>134</v>
      </c>
      <c r="I31" s="270" t="s">
        <v>136</v>
      </c>
      <c r="J31" s="268"/>
      <c r="K31" s="268"/>
      <c r="L31" s="26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1" t="s">
        <v>633</v>
      </c>
      <c r="I32" s="271" t="s">
        <v>634</v>
      </c>
      <c r="J32" s="268"/>
      <c r="K32" s="268"/>
      <c r="L32" s="26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1" t="s">
        <v>635</v>
      </c>
      <c r="I33" s="268" t="s">
        <v>630</v>
      </c>
      <c r="J33" s="268"/>
      <c r="K33" s="268"/>
      <c r="L33" s="269"/>
    </row>
    <row r="34" spans="2:39" ht="15" customHeight="1">
      <c r="B34" s="22"/>
      <c r="C34" s="24"/>
      <c r="D34" s="15"/>
      <c r="E34" s="15"/>
      <c r="H34" s="268"/>
      <c r="I34" s="268"/>
      <c r="J34" s="268"/>
      <c r="K34" s="268"/>
      <c r="L34" s="269"/>
    </row>
    <row r="35" spans="2:39" ht="15" customHeight="1">
      <c r="B35" s="23" t="s">
        <v>550</v>
      </c>
      <c r="C35" s="24" t="s">
        <v>497</v>
      </c>
      <c r="D35" s="42">
        <v>13</v>
      </c>
      <c r="E35" s="15"/>
      <c r="H35" s="268"/>
      <c r="I35" s="268"/>
      <c r="J35" s="268"/>
      <c r="K35" s="268"/>
      <c r="L35" s="269"/>
    </row>
    <row r="36" spans="2:39" ht="15" customHeight="1">
      <c r="B36" s="22"/>
      <c r="C36" s="24"/>
      <c r="D36" s="15"/>
      <c r="E36" s="15"/>
      <c r="H36" s="268"/>
      <c r="I36" s="268"/>
      <c r="J36" s="268"/>
      <c r="K36" s="268"/>
      <c r="L36" s="269"/>
    </row>
    <row r="37" spans="2:39" ht="15" customHeight="1">
      <c r="B37" s="7" t="s">
        <v>551</v>
      </c>
      <c r="C37" s="5" t="s">
        <v>366</v>
      </c>
      <c r="D37" s="34">
        <v>1500000</v>
      </c>
      <c r="E37" s="15" t="s">
        <v>508</v>
      </c>
      <c r="I37" s="268"/>
      <c r="J37" s="268"/>
      <c r="K37" s="268"/>
      <c r="L37" s="268"/>
      <c r="M37" s="269"/>
    </row>
    <row r="38" spans="2:39" customFormat="1" ht="15" customHeight="1">
      <c r="C38" s="8" t="s">
        <v>493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552</v>
      </c>
      <c r="C40" s="5" t="s">
        <v>367</v>
      </c>
      <c r="D40" s="36">
        <v>500</v>
      </c>
      <c r="E40" s="15" t="s">
        <v>542</v>
      </c>
      <c r="H40" s="67"/>
      <c r="I40" s="67"/>
      <c r="J40" s="67"/>
      <c r="K40" s="67"/>
    </row>
    <row r="41" spans="2:39" ht="15" customHeight="1">
      <c r="C41" s="8" t="s">
        <v>494</v>
      </c>
    </row>
    <row r="42" spans="2:39" ht="15" customHeight="1">
      <c r="B42" s="7"/>
      <c r="C42" s="3"/>
    </row>
    <row r="43" spans="2:39" ht="15" customHeight="1">
      <c r="B43" s="7"/>
      <c r="C43" s="3" t="s">
        <v>541</v>
      </c>
    </row>
    <row r="44" spans="2:39" ht="18" customHeight="1">
      <c r="C44" s="3" t="s">
        <v>543</v>
      </c>
    </row>
    <row r="45" spans="2:39" ht="18" customHeight="1">
      <c r="C45" s="3"/>
    </row>
    <row r="46" spans="2:39" ht="15" customHeight="1">
      <c r="B46" s="22" t="s">
        <v>553</v>
      </c>
      <c r="C46" s="60" t="s">
        <v>577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587</v>
      </c>
      <c r="D48" s="45" t="s">
        <v>660</v>
      </c>
    </row>
    <row r="49" spans="3:4" ht="18" customHeight="1">
      <c r="C49" s="22" t="s">
        <v>588</v>
      </c>
      <c r="D49" s="45"/>
    </row>
    <row r="50" spans="3:4" ht="18" customHeight="1">
      <c r="C50" s="22" t="s">
        <v>589</v>
      </c>
      <c r="D50" s="45"/>
    </row>
    <row r="51" spans="3:4" ht="18" customHeight="1">
      <c r="C51" s="22" t="s">
        <v>590</v>
      </c>
      <c r="D51" s="45"/>
    </row>
    <row r="52" spans="3:4" ht="18" customHeight="1">
      <c r="C52" s="22" t="s">
        <v>591</v>
      </c>
      <c r="D52" s="45"/>
    </row>
    <row r="53" spans="3:4" ht="18" customHeight="1">
      <c r="C53" s="22" t="s">
        <v>592</v>
      </c>
      <c r="D53" s="45"/>
    </row>
    <row r="54" spans="3:4" ht="18" customHeight="1">
      <c r="C54" s="22" t="s">
        <v>593</v>
      </c>
      <c r="D54" s="45"/>
    </row>
    <row r="55" spans="3:4" ht="18" customHeight="1">
      <c r="C55" s="22" t="s">
        <v>594</v>
      </c>
      <c r="D55" s="45"/>
    </row>
    <row r="56" spans="3:4" ht="18" customHeight="1">
      <c r="C56" s="22" t="s">
        <v>595</v>
      </c>
      <c r="D56" s="45"/>
    </row>
    <row r="57" spans="3:4" ht="18" customHeight="1">
      <c r="C57" s="22" t="s">
        <v>596</v>
      </c>
      <c r="D57" s="45"/>
    </row>
    <row r="58" spans="3:4" ht="18" customHeight="1">
      <c r="C58" s="22" t="s">
        <v>597</v>
      </c>
      <c r="D58" s="45"/>
    </row>
    <row r="59" spans="3:4" ht="18" customHeight="1">
      <c r="C59" s="22" t="s">
        <v>598</v>
      </c>
      <c r="D59" s="45"/>
    </row>
    <row r="60" spans="3:4" ht="18" customHeight="1">
      <c r="C60" s="22" t="s">
        <v>599</v>
      </c>
      <c r="D60" s="45"/>
    </row>
    <row r="61" spans="3:4" ht="18" customHeight="1">
      <c r="C61" s="22" t="s">
        <v>600</v>
      </c>
      <c r="D61" s="45"/>
    </row>
    <row r="62" spans="3:4" ht="18" customHeight="1">
      <c r="C62" s="22" t="s">
        <v>601</v>
      </c>
      <c r="D62" s="45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1" xr:uid="{00000000-0002-0000-0200-000005000000}">
      <formula1>$H$11:$K$11</formula1>
    </dataValidation>
    <dataValidation type="list" allowBlank="1" showInputMessage="1" showErrorMessage="1" sqref="D13" xr:uid="{00000000-0002-0000-0200-000006000000}">
      <formula1>$H$13:$I$13</formula1>
    </dataValidation>
    <dataValidation type="list" allowBlank="1" showInputMessage="1" showErrorMessage="1" sqref="D27" xr:uid="{00000000-0002-0000-0200-000007000000}">
      <formula1>$H$27:$J$27</formula1>
    </dataValidation>
    <dataValidation type="list" allowBlank="1" showInputMessage="1" showErrorMessage="1" sqref="D26" xr:uid="{00000000-0002-0000-0200-000008000000}">
      <formula1>$H$26:$I$26</formula1>
    </dataValidation>
    <dataValidation type="list" allowBlank="1" showInputMessage="1" showErrorMessage="1" sqref="D31" xr:uid="{00000000-0002-0000-0200-000009000000}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BD78"/>
  <sheetViews>
    <sheetView showGridLines="0" tabSelected="1" zoomScale="70" zoomScaleNormal="70" workbookViewId="0">
      <selection activeCell="E7" sqref="E7"/>
    </sheetView>
  </sheetViews>
  <sheetFormatPr baseColWidth="10" defaultColWidth="1" defaultRowHeight="14.5" zeroHeight="1"/>
  <cols>
    <col min="1" max="1" width="2.81640625" style="128" customWidth="1"/>
    <col min="2" max="2" width="5.453125" style="128" customWidth="1"/>
    <col min="3" max="3" width="55.1796875" style="128" customWidth="1"/>
    <col min="4" max="4" width="12.54296875" style="128" customWidth="1"/>
    <col min="5" max="9" width="12.7265625" style="128" customWidth="1"/>
    <col min="10" max="14" width="9" style="128" customWidth="1"/>
    <col min="15" max="15" width="34.1796875" style="128" customWidth="1"/>
    <col min="16" max="16" width="7.26953125" style="170" customWidth="1"/>
    <col min="17" max="18" width="7.26953125" style="208" customWidth="1"/>
    <col min="19" max="19" width="13.453125" style="208" customWidth="1"/>
    <col min="20" max="20" width="23.54296875" style="208" customWidth="1"/>
    <col min="21" max="21" width="5.453125" style="208" customWidth="1"/>
    <col min="22" max="22" width="5" style="208" customWidth="1"/>
    <col min="23" max="23" width="5.26953125" style="208" customWidth="1"/>
    <col min="24" max="24" width="5" style="208" customWidth="1"/>
    <col min="25" max="25" width="8.1796875" style="208" customWidth="1"/>
    <col min="26" max="26" width="11.7265625" style="208" customWidth="1"/>
    <col min="27" max="27" width="8.81640625" style="208" customWidth="1"/>
    <col min="28" max="28" width="11" style="208" customWidth="1"/>
    <col min="29" max="29" width="11" style="57" customWidth="1"/>
    <col min="30" max="36" width="4" style="57" customWidth="1"/>
    <col min="37" max="37" width="4.453125" style="57" customWidth="1"/>
    <col min="38" max="38" width="4" style="57" customWidth="1"/>
    <col min="39" max="47" width="4.453125" style="57" customWidth="1"/>
    <col min="48" max="48" width="4" style="57" customWidth="1"/>
    <col min="49" max="16382" width="1" style="57"/>
    <col min="16383" max="16383" width="4.81640625" style="57" customWidth="1"/>
    <col min="16384" max="16384" width="4.453125" style="57" customWidth="1"/>
  </cols>
  <sheetData>
    <row r="1" spans="2:56" ht="75" customHeight="1"/>
    <row r="2" spans="2:56" ht="23.5">
      <c r="B2" s="171" t="s">
        <v>545</v>
      </c>
    </row>
    <row r="3" spans="2:56" ht="15" customHeight="1">
      <c r="B3" s="171"/>
    </row>
    <row r="4" spans="2:56">
      <c r="B4" s="130"/>
      <c r="C4" s="56" t="s">
        <v>447</v>
      </c>
      <c r="D4" s="57"/>
      <c r="E4" s="331" t="str">
        <f>Netzbetreiber!D9</f>
        <v>enercity Flughafen Netz GmbH</v>
      </c>
      <c r="F4" s="331"/>
      <c r="G4" s="331"/>
      <c r="M4" s="130"/>
      <c r="N4" s="130"/>
      <c r="O4" s="130"/>
    </row>
    <row r="5" spans="2:56">
      <c r="B5" s="130"/>
      <c r="C5" s="56" t="s">
        <v>446</v>
      </c>
      <c r="D5" s="57"/>
      <c r="E5" s="58" t="str">
        <f>Netzbetreiber!D28</f>
        <v>Flughafen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489</v>
      </c>
      <c r="D6" s="57"/>
      <c r="E6" s="362" t="str">
        <f>Netzbetreiber!D11</f>
        <v>9907818000001</v>
      </c>
      <c r="F6" s="330"/>
      <c r="G6" s="3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Netzbetreiber!D6</f>
        <v>44927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499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524</v>
      </c>
      <c r="D9" s="130"/>
      <c r="E9" s="130"/>
      <c r="F9" s="154">
        <f>'SLP-Verfahren'!D46</f>
        <v>1</v>
      </c>
      <c r="H9" s="172" t="s">
        <v>602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586</v>
      </c>
      <c r="D10" s="130"/>
      <c r="E10" s="130"/>
      <c r="F10" s="49">
        <v>1</v>
      </c>
      <c r="G10" s="57"/>
      <c r="H10" s="172" t="s">
        <v>603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604</v>
      </c>
      <c r="D11" s="130"/>
      <c r="E11" s="130"/>
      <c r="F11" s="334" t="str">
        <f>INDEX('SLP-Verfahren'!D48:D62,'SLP-Temp-Gebiet #01'!F10)</f>
        <v>DWD Hannover-Flughafen</v>
      </c>
      <c r="G11" s="334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7" t="s">
        <v>585</v>
      </c>
      <c r="D13" s="347"/>
      <c r="E13" s="347"/>
      <c r="F13" s="182" t="s">
        <v>549</v>
      </c>
      <c r="G13" s="130" t="s">
        <v>547</v>
      </c>
      <c r="H13" s="262" t="s">
        <v>564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8" t="s">
        <v>450</v>
      </c>
      <c r="D14" s="348"/>
      <c r="E14" s="89" t="s">
        <v>451</v>
      </c>
      <c r="F14" s="263" t="s">
        <v>85</v>
      </c>
      <c r="G14" s="264" t="s">
        <v>573</v>
      </c>
      <c r="H14" s="51">
        <v>0</v>
      </c>
      <c r="I14" s="57"/>
      <c r="J14" s="130"/>
      <c r="K14" s="130"/>
      <c r="L14" s="130"/>
      <c r="M14" s="130"/>
      <c r="N14" s="130"/>
      <c r="O14" s="333" t="s">
        <v>652</v>
      </c>
      <c r="R14" s="208" t="s">
        <v>565</v>
      </c>
      <c r="S14" s="208" t="s">
        <v>566</v>
      </c>
      <c r="T14" s="208" t="s">
        <v>567</v>
      </c>
      <c r="U14" s="208" t="s">
        <v>568</v>
      </c>
      <c r="V14" s="208" t="s">
        <v>548</v>
      </c>
      <c r="W14" s="208" t="s">
        <v>569</v>
      </c>
      <c r="X14" s="208" t="s">
        <v>570</v>
      </c>
      <c r="Y14" s="208" t="s">
        <v>571</v>
      </c>
      <c r="Z14" s="208" t="s">
        <v>572</v>
      </c>
      <c r="AA14" s="208" t="s">
        <v>573</v>
      </c>
      <c r="AB14" s="208" t="s">
        <v>574</v>
      </c>
      <c r="AC14" s="208" t="s">
        <v>575</v>
      </c>
    </row>
    <row r="15" spans="2:56" ht="19.5" customHeight="1">
      <c r="B15" s="130"/>
      <c r="C15" s="348" t="s">
        <v>388</v>
      </c>
      <c r="D15" s="348"/>
      <c r="E15" s="89" t="s">
        <v>451</v>
      </c>
      <c r="F15" s="263" t="s">
        <v>71</v>
      </c>
      <c r="G15" s="264" t="s">
        <v>567</v>
      </c>
      <c r="H15" s="51">
        <v>0</v>
      </c>
      <c r="I15" s="57"/>
      <c r="J15" s="130"/>
      <c r="K15" s="130"/>
      <c r="L15" s="130"/>
      <c r="M15" s="130"/>
      <c r="N15" s="130"/>
      <c r="O15" s="161"/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495</v>
      </c>
      <c r="AI15" s="261" t="s">
        <v>550</v>
      </c>
      <c r="AJ15" s="261" t="s">
        <v>551</v>
      </c>
      <c r="AK15" s="261" t="s">
        <v>552</v>
      </c>
      <c r="AL15" s="261" t="s">
        <v>553</v>
      </c>
      <c r="AM15" s="261" t="s">
        <v>554</v>
      </c>
      <c r="AN15" s="261" t="s">
        <v>555</v>
      </c>
      <c r="AO15" s="261" t="s">
        <v>556</v>
      </c>
      <c r="AP15" s="261" t="s">
        <v>557</v>
      </c>
      <c r="AQ15" s="261" t="s">
        <v>558</v>
      </c>
      <c r="AR15" s="261" t="s">
        <v>559</v>
      </c>
      <c r="AS15" s="261" t="s">
        <v>560</v>
      </c>
      <c r="AT15" s="261" t="s">
        <v>561</v>
      </c>
      <c r="AU15" s="261" t="s">
        <v>562</v>
      </c>
      <c r="AV15" s="261" t="s">
        <v>563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174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519</v>
      </c>
      <c r="C17" s="176"/>
      <c r="D17" s="17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525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520</v>
      </c>
      <c r="D20" s="179" t="s">
        <v>515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527</v>
      </c>
      <c r="D21" s="153" t="s">
        <v>517</v>
      </c>
      <c r="E21" s="282">
        <f>1-SUMPRODUCT(F19:N19,F21:N21)</f>
        <v>1</v>
      </c>
      <c r="F21" s="282">
        <f>ROUND(F22/$D$22,4)</f>
        <v>0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538</v>
      </c>
      <c r="D22" s="185">
        <f>SUMPRODUCT(E22:N22,E19:N19)</f>
        <v>1</v>
      </c>
      <c r="E22" s="284">
        <v>1</v>
      </c>
      <c r="F22" s="284"/>
      <c r="G22" s="285"/>
      <c r="H22" s="285"/>
      <c r="I22" s="285"/>
      <c r="J22" s="285"/>
      <c r="K22" s="285"/>
      <c r="L22" s="285"/>
      <c r="M22" s="285"/>
      <c r="N22" s="285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137</v>
      </c>
      <c r="D23" s="187"/>
      <c r="E23" s="156" t="s">
        <v>139</v>
      </c>
      <c r="F23" s="156"/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504</v>
      </c>
      <c r="T23" s="289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522</v>
      </c>
      <c r="D24" s="187"/>
      <c r="E24" s="156" t="s">
        <v>661</v>
      </c>
      <c r="F24" s="156"/>
      <c r="G24" s="156"/>
      <c r="H24" s="156"/>
      <c r="I24" s="156"/>
      <c r="J24" s="156"/>
      <c r="K24" s="156"/>
      <c r="L24" s="156"/>
      <c r="M24" s="156"/>
      <c r="N24" s="156"/>
      <c r="O24" s="184" t="s">
        <v>523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516</v>
      </c>
      <c r="D25" s="187"/>
      <c r="E25" s="160">
        <v>10338</v>
      </c>
      <c r="F25" s="160"/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141</v>
      </c>
      <c r="D26" s="187"/>
      <c r="E26" s="156" t="s">
        <v>505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521</v>
      </c>
      <c r="D28" s="130"/>
      <c r="E28" s="130"/>
      <c r="F28" s="49">
        <v>5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1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528</v>
      </c>
      <c r="D31" s="185" t="s">
        <v>254</v>
      </c>
      <c r="E31" s="280">
        <f>1-SUMPRODUCT(F29:N29,F31:N31)</f>
        <v>0.32000000000000006</v>
      </c>
      <c r="F31" s="280">
        <f>ROUND(F32/$D$32,4)</f>
        <v>0.16</v>
      </c>
      <c r="G31" s="280">
        <f t="shared" ref="G31:N31" si="3">ROUND(G32/$D$32,4)</f>
        <v>0.08</v>
      </c>
      <c r="H31" s="280">
        <f t="shared" si="3"/>
        <v>0.04</v>
      </c>
      <c r="I31" s="280">
        <f t="shared" si="3"/>
        <v>0.4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534</v>
      </c>
      <c r="D32" s="286">
        <f>SUMPRODUCT(E32:N32,E29:N29)</f>
        <v>1.8749999999999998</v>
      </c>
      <c r="E32" s="344">
        <f>1*0.6</f>
        <v>0.6</v>
      </c>
      <c r="F32" s="344">
        <f>0.5*0.6</f>
        <v>0.3</v>
      </c>
      <c r="G32" s="344">
        <f>0.25*0.6</f>
        <v>0.15</v>
      </c>
      <c r="H32" s="344">
        <f>0.125*0.6</f>
        <v>7.4999999999999997E-2</v>
      </c>
      <c r="I32" s="342">
        <v>0.75</v>
      </c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9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343" t="s">
        <v>858</v>
      </c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  <c r="AC33" s="57" t="s">
        <v>858</v>
      </c>
    </row>
    <row r="34" spans="2:29">
      <c r="B34" s="182"/>
      <c r="C34" s="186" t="s">
        <v>453</v>
      </c>
      <c r="D34" s="153" t="s">
        <v>452</v>
      </c>
      <c r="E34" s="156" t="s">
        <v>513</v>
      </c>
      <c r="F34" s="156" t="s">
        <v>513</v>
      </c>
      <c r="G34" s="156" t="s">
        <v>513</v>
      </c>
      <c r="H34" s="156" t="s">
        <v>513</v>
      </c>
      <c r="I34" s="343" t="s">
        <v>513</v>
      </c>
      <c r="J34" s="162"/>
      <c r="K34" s="162"/>
      <c r="L34" s="162"/>
      <c r="M34" s="162"/>
      <c r="N34" s="162"/>
      <c r="O34" s="184" t="s">
        <v>142</v>
      </c>
      <c r="Q34" s="210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9">
      <c r="B35" s="182"/>
      <c r="C35" s="186" t="s">
        <v>606</v>
      </c>
      <c r="D35" s="153" t="s">
        <v>607</v>
      </c>
      <c r="E35" s="156" t="s">
        <v>605</v>
      </c>
      <c r="F35" s="156" t="s">
        <v>605</v>
      </c>
      <c r="G35" s="156" t="s">
        <v>605</v>
      </c>
      <c r="H35" s="156" t="s">
        <v>605</v>
      </c>
      <c r="I35" s="156" t="s">
        <v>605</v>
      </c>
      <c r="J35" s="156" t="s">
        <v>605</v>
      </c>
      <c r="K35" s="156" t="s">
        <v>605</v>
      </c>
      <c r="L35" s="156" t="s">
        <v>605</v>
      </c>
      <c r="M35" s="156" t="s">
        <v>605</v>
      </c>
      <c r="N35" s="156" t="s">
        <v>605</v>
      </c>
      <c r="O35" s="184" t="s">
        <v>142</v>
      </c>
      <c r="Q35" s="210"/>
      <c r="R35" s="67" t="s">
        <v>605</v>
      </c>
      <c r="S35" s="67" t="s">
        <v>608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9">
      <c r="B36" s="182"/>
      <c r="C36" s="191" t="s">
        <v>445</v>
      </c>
      <c r="D36" s="119" t="s">
        <v>539</v>
      </c>
      <c r="E36" s="162" t="s">
        <v>454</v>
      </c>
      <c r="F36" s="162" t="s">
        <v>454</v>
      </c>
      <c r="G36" s="162" t="s">
        <v>455</v>
      </c>
      <c r="H36" s="162" t="s">
        <v>455</v>
      </c>
      <c r="I36" s="162" t="s">
        <v>665</v>
      </c>
      <c r="J36" s="162"/>
      <c r="K36" s="162"/>
      <c r="L36" s="162"/>
      <c r="M36" s="162"/>
      <c r="N36" s="162"/>
      <c r="O36" s="184" t="s">
        <v>142</v>
      </c>
      <c r="Q36" s="210"/>
      <c r="R36" s="67" t="s">
        <v>455</v>
      </c>
      <c r="S36" s="67" t="s">
        <v>454</v>
      </c>
      <c r="T36" s="341" t="s">
        <v>857</v>
      </c>
      <c r="U36" s="67"/>
      <c r="V36" s="67"/>
      <c r="W36" s="67"/>
      <c r="X36" s="67"/>
      <c r="Y36" s="67"/>
      <c r="Z36" s="67"/>
      <c r="AA36" s="67"/>
      <c r="AB36" s="67"/>
    </row>
    <row r="37" spans="2:29" ht="1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9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9">
      <c r="B39" s="192"/>
      <c r="C39" s="196" t="s">
        <v>350</v>
      </c>
      <c r="D39" s="197"/>
      <c r="E39" s="197" t="s">
        <v>666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9">
      <c r="B40" s="192"/>
      <c r="C40" s="196"/>
      <c r="D40" s="197"/>
      <c r="E40" s="197" t="s">
        <v>530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9">
      <c r="B41" s="192"/>
      <c r="C41" s="196"/>
      <c r="D41" s="197"/>
      <c r="E41" s="197" t="s">
        <v>531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9" ht="16.5">
      <c r="B42" s="192"/>
      <c r="C42" s="199"/>
      <c r="D42" s="197"/>
      <c r="E42" s="345" t="s">
        <v>856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9">
      <c r="B43" s="192"/>
      <c r="C43" s="199"/>
      <c r="D43" s="197"/>
      <c r="E43" s="345" t="s">
        <v>855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9">
      <c r="B44" s="192"/>
      <c r="C44" s="199"/>
      <c r="D44" s="197"/>
      <c r="E44" s="197" t="s">
        <v>670</v>
      </c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9">
      <c r="B45" s="192"/>
      <c r="C45" s="196" t="s">
        <v>667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9">
      <c r="B46" s="192"/>
      <c r="C46" s="346" t="s">
        <v>668</v>
      </c>
      <c r="D46" s="200" t="s">
        <v>535</v>
      </c>
      <c r="E46" s="287">
        <v>0.6</v>
      </c>
      <c r="F46" s="287">
        <v>0.3</v>
      </c>
      <c r="G46" s="287">
        <v>0.15</v>
      </c>
      <c r="H46" s="287">
        <v>7.4999999999999997E-2</v>
      </c>
      <c r="I46" s="287">
        <v>0.75</v>
      </c>
      <c r="J46" s="345"/>
      <c r="K46" s="197"/>
      <c r="L46" s="197"/>
      <c r="M46" s="197"/>
      <c r="N46" s="197"/>
      <c r="O46" s="198"/>
    </row>
    <row r="47" spans="2:29">
      <c r="B47" s="192"/>
      <c r="C47" s="199" t="s">
        <v>669</v>
      </c>
      <c r="D47" s="200" t="s">
        <v>535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345"/>
      <c r="K47" s="197"/>
      <c r="L47" s="197"/>
      <c r="M47" s="197"/>
      <c r="N47" s="197"/>
      <c r="O47" s="198"/>
    </row>
    <row r="48" spans="2:29" ht="1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5">
      <c r="B50" s="175" t="s">
        <v>580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544</v>
      </c>
      <c r="D52" s="130"/>
      <c r="E52" s="130"/>
      <c r="F52" s="157">
        <f>F18</f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0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520</v>
      </c>
      <c r="D54" s="179" t="s">
        <v>515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527</v>
      </c>
      <c r="D55" s="153" t="s">
        <v>517</v>
      </c>
      <c r="E55" s="280">
        <f>1-SUMPRODUCT(F53:N53,F55:N55)</f>
        <v>1</v>
      </c>
      <c r="F55" s="280">
        <f>ROUND(F56/$D$56,4)</f>
        <v>0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538</v>
      </c>
      <c r="D56" s="185">
        <f>SUMPRODUCT(E56:N56,E53:N53)</f>
        <v>1</v>
      </c>
      <c r="E56" s="281">
        <f>E22</f>
        <v>1</v>
      </c>
      <c r="F56" s="281">
        <f t="shared" ref="F56:N56" si="6">F22</f>
        <v>0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137</v>
      </c>
      <c r="D57" s="187"/>
      <c r="E57" s="156" t="str">
        <f>E23</f>
        <v>DWD</v>
      </c>
      <c r="F57" s="156">
        <f t="shared" ref="F57:N57" si="7">F23</f>
        <v>0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522</v>
      </c>
      <c r="D58" s="187"/>
      <c r="E58" s="156" t="str">
        <f>E24</f>
        <v>Hannover-Langenhagen</v>
      </c>
      <c r="F58" s="156">
        <f t="shared" ref="F58:N58" si="8">F24</f>
        <v>0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4" t="s">
        <v>523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516</v>
      </c>
      <c r="D59" s="187"/>
      <c r="E59" s="160">
        <f>E25</f>
        <v>10338</v>
      </c>
      <c r="F59" s="160">
        <f t="shared" ref="F59:N59" si="9">F25</f>
        <v>0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141</v>
      </c>
      <c r="D60" s="187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521</v>
      </c>
      <c r="D62" s="130"/>
      <c r="E62" s="130"/>
      <c r="F62" s="157">
        <v>5</v>
      </c>
    </row>
    <row r="63" spans="2:28" ht="15" customHeight="1">
      <c r="E63" s="177">
        <f>IF(E64&gt;$F$62,0,1)</f>
        <v>1</v>
      </c>
      <c r="F63" s="177">
        <f t="shared" ref="F63:N63" si="11">IF(F64&gt;$F$62,0,1)</f>
        <v>1</v>
      </c>
      <c r="G63" s="177">
        <f t="shared" si="11"/>
        <v>1</v>
      </c>
      <c r="H63" s="177">
        <f t="shared" si="11"/>
        <v>1</v>
      </c>
      <c r="I63" s="177">
        <f t="shared" si="11"/>
        <v>1</v>
      </c>
      <c r="J63" s="177">
        <f t="shared" si="11"/>
        <v>0</v>
      </c>
      <c r="K63" s="177">
        <f t="shared" si="11"/>
        <v>0</v>
      </c>
      <c r="L63" s="177">
        <f t="shared" si="11"/>
        <v>0</v>
      </c>
      <c r="M63" s="177">
        <f t="shared" si="11"/>
        <v>0</v>
      </c>
      <c r="N63" s="177">
        <f t="shared" si="11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528</v>
      </c>
      <c r="D65" s="185" t="s">
        <v>254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12">ROUND(G66/$D$66,4)</f>
        <v>0.1333</v>
      </c>
      <c r="H65" s="280">
        <f t="shared" si="12"/>
        <v>6.6699999999999995E-2</v>
      </c>
      <c r="I65" s="280">
        <f t="shared" si="12"/>
        <v>0</v>
      </c>
      <c r="J65" s="280">
        <f t="shared" si="12"/>
        <v>0</v>
      </c>
      <c r="K65" s="280">
        <f t="shared" si="12"/>
        <v>0</v>
      </c>
      <c r="L65" s="280">
        <f t="shared" si="12"/>
        <v>0</v>
      </c>
      <c r="M65" s="280">
        <f t="shared" si="12"/>
        <v>0</v>
      </c>
      <c r="N65" s="280">
        <f t="shared" si="12"/>
        <v>0</v>
      </c>
      <c r="O65" s="184"/>
    </row>
    <row r="66" spans="2:15">
      <c r="B66" s="182"/>
      <c r="C66" s="183" t="s">
        <v>534</v>
      </c>
      <c r="D66" s="185">
        <f>SUMPRODUCT(E66:N66,E63:N63)</f>
        <v>1.875</v>
      </c>
      <c r="E66" s="288">
        <v>1</v>
      </c>
      <c r="F66" s="288">
        <v>0.5</v>
      </c>
      <c r="G66" s="288">
        <v>0.25</v>
      </c>
      <c r="H66" s="288">
        <v>0.125</v>
      </c>
      <c r="I66" s="288">
        <v>0</v>
      </c>
      <c r="J66" s="288">
        <f t="shared" ref="J66:N66" si="13">J32</f>
        <v>0</v>
      </c>
      <c r="K66" s="288">
        <f t="shared" si="13"/>
        <v>0</v>
      </c>
      <c r="L66" s="288">
        <f t="shared" si="13"/>
        <v>0</v>
      </c>
      <c r="M66" s="288">
        <f t="shared" si="13"/>
        <v>0</v>
      </c>
      <c r="N66" s="288">
        <f t="shared" si="13"/>
        <v>0</v>
      </c>
      <c r="O66" s="184" t="s">
        <v>145</v>
      </c>
    </row>
    <row r="67" spans="2:1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 t="s">
        <v>858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4" t="s">
        <v>142</v>
      </c>
    </row>
    <row r="68" spans="2:15">
      <c r="B68" s="182"/>
      <c r="C68" s="186" t="s">
        <v>453</v>
      </c>
      <c r="D68" s="153" t="s">
        <v>452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 t="str">
        <f t="shared" si="15"/>
        <v>Gastag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4" t="s">
        <v>142</v>
      </c>
    </row>
    <row r="69" spans="2:15">
      <c r="B69" s="182"/>
      <c r="C69" s="186" t="s">
        <v>606</v>
      </c>
      <c r="D69" s="153" t="s">
        <v>607</v>
      </c>
      <c r="E69" s="159" t="str">
        <f>E35</f>
        <v>CET/CEST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4" t="s">
        <v>142</v>
      </c>
    </row>
    <row r="70" spans="2:15">
      <c r="B70" s="182"/>
      <c r="C70" s="191" t="s">
        <v>445</v>
      </c>
      <c r="D70" s="119" t="s">
        <v>539</v>
      </c>
      <c r="E70" s="163" t="s">
        <v>455</v>
      </c>
      <c r="F70" s="163" t="s">
        <v>455</v>
      </c>
      <c r="G70" s="163" t="str">
        <f t="shared" ref="G70:N70" si="17">G36</f>
        <v>Temp.-IST</v>
      </c>
      <c r="H70" s="163" t="str">
        <f t="shared" si="17"/>
        <v>Temp.-IST</v>
      </c>
      <c r="I70" s="163" t="s">
        <v>859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4" t="s">
        <v>142</v>
      </c>
    </row>
    <row r="71" spans="2:15"/>
    <row r="72" spans="2:15" ht="15.75" customHeight="1">
      <c r="C72" s="349" t="s">
        <v>581</v>
      </c>
      <c r="D72" s="349"/>
      <c r="E72" s="349"/>
      <c r="F72" s="349"/>
    </row>
    <row r="73" spans="2:15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6:N36 E70:N70" xr:uid="{00000000-0002-0000-0300-000001000000}">
      <formula1>$R$36:$T$36</formula1>
    </dataValidation>
    <dataValidation type="list" allowBlank="1" showInputMessage="1" showErrorMessage="1" sqref="E26:N26 E60:N60" xr:uid="{00000000-0002-0000-0300-000002000000}">
      <formula1>$R$26:$S$26</formula1>
    </dataValidation>
    <dataValidation type="list" allowBlank="1" showInputMessage="1" showErrorMessage="1" errorTitle="Prognosezeitraum" error="Werte zwischen 0 - 240h" sqref="J67:N67 E67:H67 E33:H33 J33:N33" xr:uid="{00000000-0002-0000-0300-000003000000}">
      <formula1>$R$33:$AB$33</formula1>
    </dataValidation>
    <dataValidation type="list" allowBlank="1" showInputMessage="1" showErrorMessage="1" sqref="E68:N68 E34:N34" xr:uid="{00000000-0002-0000-0300-000004000000}">
      <formula1>$R$34:$S$34</formula1>
    </dataValidation>
    <dataValidation type="list" allowBlank="1" showInputMessage="1" showErrorMessage="1" sqref="E23:N23 E57:N57" xr:uid="{00000000-0002-0000-0300-000005000000}">
      <formula1>$R$23:$T$23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8" xr:uid="{00000000-0002-0000-0300-000008000000}">
      <formula1>$E$30:$N$30</formula1>
    </dataValidation>
    <dataValidation type="list" allowBlank="1" showInputMessage="1" showErrorMessage="1" sqref="F62" xr:uid="{00000000-0002-0000-0300-000009000000}">
      <formula1>$E$64:$N$64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5:N35 E69:N69" xr:uid="{00000000-0002-0000-0300-00000C000000}">
      <formula1>$R$35:$S$35</formula1>
    </dataValidation>
    <dataValidation type="list" allowBlank="1" showInputMessage="1" showErrorMessage="1" errorTitle="Prognosezeitraum" error="Werte zwischen 0 - 240h" sqref="I67 I33" xr:uid="{00000000-0002-0000-0300-00000D000000}">
      <formula1>$R$33:$AC$33</formula1>
    </dataValidation>
  </dataValidations>
  <pageMargins left="0.25" right="0.25" top="0.75" bottom="0.75" header="0.3" footer="0.3"/>
  <pageSetup paperSize="9" scale="43" orientation="landscape" r:id="rId1"/>
  <ignoredErrors>
    <ignoredError sqref="E68:N68 E26:N26 E56:N60 E22 I22:N22 F52 G24:N24 J32:N32 E69:N69 G25:N25 E34:H34 E33:H33 J33:N33 J34:N34 J66:N66 E67:H67 J67:N6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E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1640625" style="128" customWidth="1"/>
    <col min="2" max="2" width="5.453125" style="128" customWidth="1"/>
    <col min="3" max="3" width="37.54296875" style="128" customWidth="1"/>
    <col min="4" max="4" width="12.54296875" style="128" customWidth="1"/>
    <col min="5" max="14" width="12.7265625" style="128" customWidth="1"/>
    <col min="15" max="15" width="34.1796875" style="128" customWidth="1"/>
    <col min="16" max="16" width="7.26953125" style="170" customWidth="1"/>
    <col min="17" max="18" width="7.26953125" style="208" hidden="1" customWidth="1"/>
    <col min="19" max="19" width="13.453125" style="208" hidden="1" customWidth="1"/>
    <col min="20" max="20" width="23.54296875" style="208" hidden="1" customWidth="1"/>
    <col min="21" max="21" width="5.453125" style="208" hidden="1" customWidth="1"/>
    <col min="22" max="22" width="5" style="208" hidden="1" customWidth="1"/>
    <col min="23" max="23" width="5.26953125" style="208" hidden="1" customWidth="1"/>
    <col min="24" max="24" width="5" style="208" hidden="1" customWidth="1"/>
    <col min="25" max="25" width="8.1796875" style="208" hidden="1" customWidth="1"/>
    <col min="26" max="26" width="11.7265625" style="208" hidden="1" customWidth="1"/>
    <col min="27" max="27" width="8.8164062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53125" style="57" hidden="1" customWidth="1"/>
    <col min="38" max="38" width="4" style="57" hidden="1" customWidth="1"/>
    <col min="39" max="47" width="4.453125" style="57" hidden="1" customWidth="1"/>
    <col min="48" max="48" width="4" style="57" hidden="1" customWidth="1"/>
    <col min="49" max="16383" width="22.54296875" style="57" hidden="1"/>
    <col min="16384" max="16384" width="1" style="57" hidden="1" customWidth="1"/>
  </cols>
  <sheetData>
    <row r="1" spans="2:56" ht="75" customHeight="1"/>
    <row r="2" spans="2:56" ht="23.5">
      <c r="B2" s="171" t="s">
        <v>545</v>
      </c>
    </row>
    <row r="3" spans="2:56" ht="15" customHeight="1">
      <c r="B3" s="171"/>
    </row>
    <row r="4" spans="2:56" ht="14.5">
      <c r="B4" s="130"/>
      <c r="C4" s="56" t="s">
        <v>447</v>
      </c>
      <c r="D4" s="57"/>
      <c r="E4" s="331" t="str">
        <f>Netzbetreiber!$D$9</f>
        <v>enercity Flughafen Netz GmbH</v>
      </c>
      <c r="F4" s="130"/>
      <c r="M4" s="130"/>
      <c r="N4" s="130"/>
      <c r="O4" s="130"/>
    </row>
    <row r="5" spans="2:56" ht="14.5">
      <c r="B5" s="130"/>
      <c r="C5" s="56" t="s">
        <v>446</v>
      </c>
      <c r="D5" s="57"/>
      <c r="E5" s="58" t="str">
        <f>Netzbetreiber!$D$28</f>
        <v>Flughafen</v>
      </c>
      <c r="F5" s="130"/>
      <c r="G5" s="130"/>
      <c r="H5" s="130"/>
      <c r="M5" s="130"/>
      <c r="N5" s="130"/>
      <c r="O5" s="130"/>
    </row>
    <row r="6" spans="2:56" ht="14.5">
      <c r="B6" s="130"/>
      <c r="C6" s="60" t="s">
        <v>489</v>
      </c>
      <c r="D6" s="57"/>
      <c r="E6" s="330" t="str">
        <f>Netzbetreiber!$D$11</f>
        <v>9907818000001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 ht="14.5">
      <c r="B7" s="130"/>
      <c r="C7" s="56" t="s">
        <v>133</v>
      </c>
      <c r="D7" s="57"/>
      <c r="E7" s="50">
        <f>Netzbetreiber!$D$6</f>
        <v>44927</v>
      </c>
      <c r="F7" s="130"/>
      <c r="G7" s="130"/>
      <c r="J7" s="130"/>
      <c r="K7" s="130"/>
      <c r="L7" s="130"/>
      <c r="M7" s="130"/>
      <c r="N7" s="130"/>
      <c r="O7" s="130"/>
    </row>
    <row r="8" spans="2:56" ht="14.5">
      <c r="B8" s="130"/>
      <c r="C8" s="130"/>
      <c r="D8" s="130"/>
      <c r="E8" s="130"/>
      <c r="F8" s="130"/>
      <c r="G8" s="130"/>
      <c r="H8" s="88" t="s">
        <v>499</v>
      </c>
      <c r="J8" s="130"/>
      <c r="K8" s="130"/>
      <c r="L8" s="130"/>
      <c r="M8" s="130"/>
      <c r="N8" s="130"/>
      <c r="O8" s="130"/>
    </row>
    <row r="9" spans="2:56" ht="14.5">
      <c r="B9" s="130"/>
      <c r="C9" s="60" t="s">
        <v>524</v>
      </c>
      <c r="D9" s="130"/>
      <c r="E9" s="130"/>
      <c r="F9" s="154">
        <f>'SLP-Verfahren'!D46</f>
        <v>1</v>
      </c>
      <c r="H9" s="172" t="s">
        <v>602</v>
      </c>
      <c r="J9" s="130"/>
      <c r="K9" s="130"/>
      <c r="L9" s="130"/>
      <c r="M9" s="130"/>
      <c r="N9" s="130"/>
      <c r="O9" s="130"/>
    </row>
    <row r="10" spans="2:56" ht="14.5">
      <c r="B10" s="130"/>
      <c r="C10" s="56" t="s">
        <v>586</v>
      </c>
      <c r="D10" s="130"/>
      <c r="E10" s="130"/>
      <c r="F10" s="49">
        <v>2</v>
      </c>
      <c r="G10" s="57"/>
      <c r="H10" s="172" t="s">
        <v>603</v>
      </c>
      <c r="J10" s="130"/>
      <c r="K10" s="130"/>
      <c r="L10" s="130"/>
      <c r="M10" s="130"/>
      <c r="N10" s="130"/>
      <c r="O10" s="130"/>
    </row>
    <row r="11" spans="2:56" ht="14.5">
      <c r="B11" s="130"/>
      <c r="C11" s="56" t="s">
        <v>604</v>
      </c>
      <c r="D11" s="130"/>
      <c r="E11" s="130"/>
      <c r="F11" s="334">
        <f>INDEX('SLP-Verfahren'!D48:D62,'SLP-Temp-Gebiet #02'!F10)</f>
        <v>0</v>
      </c>
      <c r="G11" s="334"/>
      <c r="H11" s="290"/>
      <c r="J11" s="130"/>
      <c r="K11" s="130"/>
      <c r="L11" s="130"/>
      <c r="M11" s="130"/>
      <c r="N11" s="130"/>
      <c r="O11" s="130"/>
    </row>
    <row r="12" spans="2:56" ht="14.5"/>
    <row r="13" spans="2:56" ht="18" customHeight="1">
      <c r="B13" s="130"/>
      <c r="C13" s="347" t="s">
        <v>585</v>
      </c>
      <c r="D13" s="347"/>
      <c r="E13" s="347"/>
      <c r="F13" s="182" t="s">
        <v>549</v>
      </c>
      <c r="G13" s="130" t="s">
        <v>547</v>
      </c>
      <c r="H13" s="262" t="s">
        <v>564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8" t="s">
        <v>450</v>
      </c>
      <c r="D14" s="348"/>
      <c r="E14" s="89" t="s">
        <v>451</v>
      </c>
      <c r="F14" s="263" t="s">
        <v>85</v>
      </c>
      <c r="G14" s="264" t="s">
        <v>573</v>
      </c>
      <c r="H14" s="51">
        <v>0</v>
      </c>
      <c r="I14" s="57"/>
      <c r="J14" s="130"/>
      <c r="K14" s="130"/>
      <c r="L14" s="130"/>
      <c r="M14" s="130"/>
      <c r="N14" s="130"/>
      <c r="O14" s="333" t="s">
        <v>652</v>
      </c>
      <c r="R14" s="208" t="s">
        <v>565</v>
      </c>
      <c r="S14" s="208" t="s">
        <v>566</v>
      </c>
      <c r="T14" s="208" t="s">
        <v>567</v>
      </c>
      <c r="U14" s="208" t="s">
        <v>568</v>
      </c>
      <c r="V14" s="208" t="s">
        <v>548</v>
      </c>
      <c r="W14" s="208" t="s">
        <v>569</v>
      </c>
      <c r="X14" s="208" t="s">
        <v>570</v>
      </c>
      <c r="Y14" s="208" t="s">
        <v>571</v>
      </c>
      <c r="Z14" s="208" t="s">
        <v>572</v>
      </c>
      <c r="AA14" s="208" t="s">
        <v>573</v>
      </c>
      <c r="AB14" s="208" t="s">
        <v>574</v>
      </c>
      <c r="AC14" s="208" t="s">
        <v>575</v>
      </c>
    </row>
    <row r="15" spans="2:56" ht="19.5" customHeight="1">
      <c r="B15" s="130"/>
      <c r="C15" s="348" t="s">
        <v>388</v>
      </c>
      <c r="D15" s="348"/>
      <c r="E15" s="89" t="s">
        <v>451</v>
      </c>
      <c r="F15" s="263" t="s">
        <v>71</v>
      </c>
      <c r="G15" s="264" t="s">
        <v>567</v>
      </c>
      <c r="H15" s="51">
        <v>0</v>
      </c>
      <c r="I15" s="57"/>
      <c r="J15" s="130"/>
      <c r="K15" s="130"/>
      <c r="L15" s="130"/>
      <c r="M15" s="130"/>
      <c r="N15" s="130"/>
      <c r="O15" s="161" t="s">
        <v>529</v>
      </c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495</v>
      </c>
      <c r="AI15" s="261" t="s">
        <v>550</v>
      </c>
      <c r="AJ15" s="261" t="s">
        <v>551</v>
      </c>
      <c r="AK15" s="261" t="s">
        <v>552</v>
      </c>
      <c r="AL15" s="261" t="s">
        <v>553</v>
      </c>
      <c r="AM15" s="261" t="s">
        <v>554</v>
      </c>
      <c r="AN15" s="261" t="s">
        <v>555</v>
      </c>
      <c r="AO15" s="261" t="s">
        <v>556</v>
      </c>
      <c r="AP15" s="261" t="s">
        <v>557</v>
      </c>
      <c r="AQ15" s="261" t="s">
        <v>558</v>
      </c>
      <c r="AR15" s="261" t="s">
        <v>559</v>
      </c>
      <c r="AS15" s="261" t="s">
        <v>560</v>
      </c>
      <c r="AT15" s="261" t="s">
        <v>561</v>
      </c>
      <c r="AU15" s="261" t="s">
        <v>562</v>
      </c>
      <c r="AV15" s="261" t="s">
        <v>563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291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519</v>
      </c>
      <c r="C17" s="176"/>
      <c r="D17" s="29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 ht="14.5">
      <c r="B18" s="130"/>
      <c r="C18" s="56" t="s">
        <v>525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520</v>
      </c>
      <c r="D20" s="179" t="s">
        <v>515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ht="14.5">
      <c r="B21" s="182"/>
      <c r="C21" s="183" t="s">
        <v>527</v>
      </c>
      <c r="D21" s="153" t="s">
        <v>517</v>
      </c>
      <c r="E21" s="282">
        <f>1-SUMPRODUCT(F19:N19,F21:N21)</f>
        <v>0.5</v>
      </c>
      <c r="F21" s="282">
        <f>ROUND(F22/$D$22,4)</f>
        <v>0.5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 ht="14.5">
      <c r="B22" s="182"/>
      <c r="C22" s="183" t="s">
        <v>538</v>
      </c>
      <c r="D22" s="185">
        <f>SUMPRODUCT(E22:N22,E19:N19)</f>
        <v>2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 ht="14.5">
      <c r="B23" s="182"/>
      <c r="C23" s="186" t="s">
        <v>137</v>
      </c>
      <c r="D23" s="187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504</v>
      </c>
      <c r="T23" s="289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 ht="14.5">
      <c r="B24" s="182"/>
      <c r="C24" s="186" t="s">
        <v>522</v>
      </c>
      <c r="D24" s="187"/>
      <c r="E24" s="156" t="s">
        <v>582</v>
      </c>
      <c r="F24" s="156" t="s">
        <v>583</v>
      </c>
      <c r="G24" s="156"/>
      <c r="H24" s="156"/>
      <c r="I24" s="156"/>
      <c r="J24" s="156"/>
      <c r="K24" s="156"/>
      <c r="L24" s="156"/>
      <c r="M24" s="156"/>
      <c r="N24" s="156"/>
      <c r="O24" s="184" t="s">
        <v>523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 ht="14.5">
      <c r="B25" s="182"/>
      <c r="C25" s="186" t="s">
        <v>516</v>
      </c>
      <c r="D25" s="187"/>
      <c r="E25" s="160" t="s">
        <v>364</v>
      </c>
      <c r="F25" s="160" t="s">
        <v>364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 ht="14.5">
      <c r="B26" s="182"/>
      <c r="C26" s="186" t="s">
        <v>141</v>
      </c>
      <c r="D26" s="187"/>
      <c r="E26" s="156" t="s">
        <v>505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 ht="14.5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 ht="14.5">
      <c r="B28" s="130"/>
      <c r="C28" s="56" t="s">
        <v>521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 ht="14.5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 ht="14.5">
      <c r="B31" s="182"/>
      <c r="C31" s="183" t="s">
        <v>528</v>
      </c>
      <c r="D31" s="185" t="s">
        <v>254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 ht="14.5">
      <c r="B32" s="182"/>
      <c r="C32" s="183" t="s">
        <v>534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 ht="14.5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 ht="14.5">
      <c r="B34" s="182"/>
      <c r="C34" s="186" t="s">
        <v>453</v>
      </c>
      <c r="D34" s="153" t="s">
        <v>452</v>
      </c>
      <c r="E34" s="156" t="s">
        <v>513</v>
      </c>
      <c r="F34" s="156" t="s">
        <v>513</v>
      </c>
      <c r="G34" s="156" t="s">
        <v>513</v>
      </c>
      <c r="H34" s="156" t="s">
        <v>513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 ht="14.5">
      <c r="B35" s="182"/>
      <c r="C35" s="186" t="s">
        <v>606</v>
      </c>
      <c r="D35" s="153" t="s">
        <v>607</v>
      </c>
      <c r="E35" s="156" t="s">
        <v>605</v>
      </c>
      <c r="F35" s="156" t="s">
        <v>605</v>
      </c>
      <c r="G35" s="156" t="s">
        <v>605</v>
      </c>
      <c r="H35" s="156" t="s">
        <v>605</v>
      </c>
      <c r="I35" s="156" t="s">
        <v>605</v>
      </c>
      <c r="J35" s="156" t="s">
        <v>605</v>
      </c>
      <c r="K35" s="156" t="s">
        <v>605</v>
      </c>
      <c r="L35" s="156" t="s">
        <v>605</v>
      </c>
      <c r="M35" s="156" t="s">
        <v>605</v>
      </c>
      <c r="N35" s="156" t="s">
        <v>605</v>
      </c>
      <c r="O35" s="184" t="s">
        <v>142</v>
      </c>
      <c r="Q35" s="210"/>
      <c r="R35" s="67" t="s">
        <v>605</v>
      </c>
      <c r="S35" s="67" t="s">
        <v>608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 ht="14.5">
      <c r="B36" s="182"/>
      <c r="C36" s="191" t="s">
        <v>445</v>
      </c>
      <c r="D36" s="119" t="s">
        <v>539</v>
      </c>
      <c r="E36" s="162" t="s">
        <v>454</v>
      </c>
      <c r="F36" s="162" t="s">
        <v>454</v>
      </c>
      <c r="G36" s="162" t="s">
        <v>455</v>
      </c>
      <c r="H36" s="162" t="s">
        <v>455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 ht="14.5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6.5">
      <c r="B39" s="192"/>
      <c r="C39" s="196" t="s">
        <v>350</v>
      </c>
      <c r="D39" s="197"/>
      <c r="E39" s="197" t="s">
        <v>532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 ht="14.5">
      <c r="B40" s="192"/>
      <c r="C40" s="196"/>
      <c r="D40" s="197"/>
      <c r="E40" s="197" t="s">
        <v>533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 ht="14.5">
      <c r="B41" s="192"/>
      <c r="C41" s="196"/>
      <c r="D41" s="197"/>
      <c r="E41" s="197" t="s">
        <v>526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 ht="14.5">
      <c r="B42" s="192"/>
      <c r="C42" s="199"/>
      <c r="D42" s="197"/>
      <c r="E42" s="197" t="s">
        <v>530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 ht="14.5">
      <c r="B43" s="192"/>
      <c r="C43" s="199"/>
      <c r="D43" s="197"/>
      <c r="E43" s="197" t="s">
        <v>531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 ht="14.5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 ht="14.5">
      <c r="B45" s="192"/>
      <c r="C45" s="196" t="s">
        <v>536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 ht="14.5">
      <c r="B46" s="192"/>
      <c r="C46" s="199" t="s">
        <v>537</v>
      </c>
      <c r="D46" s="200" t="s">
        <v>535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363</v>
      </c>
      <c r="K46" s="197"/>
      <c r="L46" s="197"/>
      <c r="M46" s="197"/>
      <c r="N46" s="197"/>
      <c r="O46" s="198"/>
    </row>
    <row r="47" spans="2:28" ht="14.5">
      <c r="B47" s="192"/>
      <c r="C47" s="199" t="s">
        <v>349</v>
      </c>
      <c r="D47" s="200" t="s">
        <v>535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363</v>
      </c>
      <c r="K47" s="197"/>
      <c r="L47" s="197"/>
      <c r="M47" s="197"/>
      <c r="N47" s="197"/>
      <c r="O47" s="198"/>
    </row>
    <row r="48" spans="2:28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 ht="14.5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5">
      <c r="B50" s="175" t="s">
        <v>580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4.5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 ht="14.5">
      <c r="B52" s="130"/>
      <c r="C52" s="56" t="s">
        <v>544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520</v>
      </c>
      <c r="D54" s="179" t="s">
        <v>515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 ht="14.5">
      <c r="B55" s="182"/>
      <c r="C55" s="183" t="s">
        <v>527</v>
      </c>
      <c r="D55" s="153" t="s">
        <v>517</v>
      </c>
      <c r="E55" s="280">
        <f>1-SUMPRODUCT(F53:N53,F55:N55)</f>
        <v>0.5</v>
      </c>
      <c r="F55" s="280">
        <f>ROUND(F56/$D$56,4)</f>
        <v>0.5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 ht="14.5">
      <c r="B56" s="182"/>
      <c r="C56" s="183" t="s">
        <v>538</v>
      </c>
      <c r="D56" s="185">
        <f>SUMPRODUCT(E56:N56,E53:N53)</f>
        <v>2</v>
      </c>
      <c r="E56" s="281">
        <f>E22</f>
        <v>1</v>
      </c>
      <c r="F56" s="281">
        <f t="shared" ref="F56:N60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 ht="14.5">
      <c r="B57" s="182"/>
      <c r="C57" s="186" t="s">
        <v>137</v>
      </c>
      <c r="D57" s="187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 ht="14.5">
      <c r="B58" s="182"/>
      <c r="C58" s="186" t="s">
        <v>522</v>
      </c>
      <c r="D58" s="187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523</v>
      </c>
      <c r="W58" s="67"/>
      <c r="X58" s="67"/>
      <c r="Y58" s="67"/>
      <c r="Z58" s="67"/>
      <c r="AA58" s="67"/>
      <c r="AB58" s="67"/>
    </row>
    <row r="59" spans="2:28" ht="14.5">
      <c r="B59" s="182"/>
      <c r="C59" s="186" t="s">
        <v>516</v>
      </c>
      <c r="D59" s="187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 ht="14.5">
      <c r="B60" s="182"/>
      <c r="C60" s="186" t="s">
        <v>141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 ht="14.5"/>
    <row r="62" spans="2:28" ht="14.5">
      <c r="C62" s="56" t="s">
        <v>521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 ht="14.5">
      <c r="B65" s="182"/>
      <c r="C65" s="183" t="s">
        <v>528</v>
      </c>
      <c r="D65" s="185" t="s">
        <v>254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8">ROUND(G66/$D$66,4)</f>
        <v>0.1333</v>
      </c>
      <c r="H65" s="280">
        <f t="shared" si="8"/>
        <v>6.6699999999999995E-2</v>
      </c>
      <c r="I65" s="280">
        <f t="shared" si="8"/>
        <v>0</v>
      </c>
      <c r="J65" s="280">
        <f t="shared" si="8"/>
        <v>0</v>
      </c>
      <c r="K65" s="280">
        <f t="shared" si="8"/>
        <v>0</v>
      </c>
      <c r="L65" s="280">
        <f t="shared" si="8"/>
        <v>0</v>
      </c>
      <c r="M65" s="280">
        <f t="shared" si="8"/>
        <v>0</v>
      </c>
      <c r="N65" s="280">
        <f t="shared" si="8"/>
        <v>0</v>
      </c>
      <c r="O65" s="184"/>
    </row>
    <row r="66" spans="2:15" ht="14.5">
      <c r="B66" s="182"/>
      <c r="C66" s="183" t="s">
        <v>534</v>
      </c>
      <c r="D66" s="185">
        <f>SUMPRODUCT(E66:N66,E63:N63)</f>
        <v>1.875</v>
      </c>
      <c r="E66" s="288">
        <f>E32</f>
        <v>1</v>
      </c>
      <c r="F66" s="288">
        <f t="shared" ref="F66:N70" si="9">F32</f>
        <v>0.5</v>
      </c>
      <c r="G66" s="288">
        <f t="shared" si="9"/>
        <v>0.25</v>
      </c>
      <c r="H66" s="288">
        <f t="shared" si="9"/>
        <v>0.125</v>
      </c>
      <c r="I66" s="288">
        <f t="shared" si="9"/>
        <v>0</v>
      </c>
      <c r="J66" s="288">
        <f t="shared" si="9"/>
        <v>0</v>
      </c>
      <c r="K66" s="288">
        <f t="shared" si="9"/>
        <v>0</v>
      </c>
      <c r="L66" s="288">
        <f t="shared" si="9"/>
        <v>0</v>
      </c>
      <c r="M66" s="288">
        <f t="shared" si="9"/>
        <v>0</v>
      </c>
      <c r="N66" s="288">
        <f t="shared" si="9"/>
        <v>0</v>
      </c>
      <c r="O66" s="184" t="s">
        <v>145</v>
      </c>
    </row>
    <row r="67" spans="2:15" ht="14.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142</v>
      </c>
    </row>
    <row r="68" spans="2:15" ht="14.5">
      <c r="B68" s="182"/>
      <c r="C68" s="186" t="s">
        <v>453</v>
      </c>
      <c r="D68" s="153" t="s">
        <v>452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142</v>
      </c>
    </row>
    <row r="69" spans="2:15" ht="14.5">
      <c r="B69" s="182"/>
      <c r="C69" s="186" t="s">
        <v>606</v>
      </c>
      <c r="D69" s="153" t="s">
        <v>607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142</v>
      </c>
    </row>
    <row r="70" spans="2:15" ht="14.5">
      <c r="B70" s="182"/>
      <c r="C70" s="191" t="s">
        <v>445</v>
      </c>
      <c r="D70" s="119" t="s">
        <v>539</v>
      </c>
      <c r="E70" s="163" t="s">
        <v>455</v>
      </c>
      <c r="F70" s="163" t="s">
        <v>455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142</v>
      </c>
    </row>
    <row r="71" spans="2:15" ht="14.5"/>
    <row r="72" spans="2:15" ht="15.75" customHeight="1">
      <c r="C72" s="349" t="s">
        <v>581</v>
      </c>
      <c r="D72" s="349"/>
      <c r="E72" s="349"/>
      <c r="F72" s="349"/>
    </row>
    <row r="73" spans="2:15" ht="14.5"/>
    <row r="74" spans="2:15" ht="14.5" hidden="1"/>
    <row r="75" spans="2:15" ht="14.5" hidden="1"/>
    <row r="76" spans="2:15" ht="14.5" hidden="1"/>
    <row r="77" spans="2:15" ht="14.5" hidden="1"/>
    <row r="78" spans="2:15" ht="14.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/>
  </sheetViews>
  <sheetFormatPr baseColWidth="10" defaultColWidth="0" defaultRowHeight="14.5" zeroHeight="1"/>
  <cols>
    <col min="1" max="1" width="2.81640625" style="128" customWidth="1"/>
    <col min="2" max="2" width="8" style="128" customWidth="1"/>
    <col min="3" max="3" width="37.453125" style="128" customWidth="1"/>
    <col min="4" max="4" width="10.7265625" style="128" customWidth="1"/>
    <col min="5" max="6" width="11.453125" style="128" customWidth="1"/>
    <col min="8" max="8" width="12.7265625" style="128" customWidth="1"/>
    <col min="9" max="9" width="15.453125" style="128" customWidth="1"/>
    <col min="10" max="11" width="12.7265625" style="128" customWidth="1"/>
    <col min="12" max="12" width="11.453125" style="128" customWidth="1"/>
    <col min="13" max="16" width="12.7265625" style="128" customWidth="1"/>
    <col min="17" max="17" width="14.1796875" style="128" customWidth="1"/>
    <col min="18" max="24" width="11.453125" style="128" customWidth="1"/>
    <col min="25" max="25" width="20.1796875" style="128" customWidth="1"/>
    <col min="26" max="26" width="11.453125" style="128" customWidth="1"/>
    <col min="27" max="16384" width="11.453125" style="128" hidden="1"/>
  </cols>
  <sheetData>
    <row r="1" spans="2:26" ht="75" customHeight="1" thickBot="1"/>
    <row r="2" spans="2:26" ht="23.5">
      <c r="B2" s="129" t="s">
        <v>365</v>
      </c>
    </row>
    <row r="3" spans="2:26">
      <c r="B3" s="130" t="s">
        <v>468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370</v>
      </c>
      <c r="D5" s="54" t="str">
        <f>Netzbetreiber!$D$9</f>
        <v>enercity Flughafen Netz GmbH</v>
      </c>
      <c r="E5" s="130"/>
      <c r="J5" s="88" t="s">
        <v>499</v>
      </c>
      <c r="K5" s="131" t="s">
        <v>502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337</v>
      </c>
      <c r="D6" s="54" t="str">
        <f>Netzbetreiber!$D$28</f>
        <v>Flughafen</v>
      </c>
      <c r="E6" s="130"/>
      <c r="F6" s="130"/>
      <c r="K6" s="131" t="s">
        <v>510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489</v>
      </c>
      <c r="D7" s="54" t="str">
        <f>Netzbetreiber!$D$11</f>
        <v>9907818000001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133</v>
      </c>
      <c r="D8" s="52">
        <f>Netzbetreiber!$D$6</f>
        <v>44927</v>
      </c>
      <c r="E8" s="130"/>
      <c r="F8" s="130"/>
      <c r="H8" s="128" t="s">
        <v>497</v>
      </c>
      <c r="J8" s="132">
        <f>COUNTA(D12:D100)</f>
        <v>15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4" thickBot="1">
      <c r="B10" s="134" t="s">
        <v>248</v>
      </c>
      <c r="C10" s="135" t="s">
        <v>496</v>
      </c>
      <c r="D10" s="134" t="s">
        <v>147</v>
      </c>
      <c r="E10" s="273" t="s">
        <v>512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636</v>
      </c>
      <c r="M10" s="150" t="s">
        <v>645</v>
      </c>
      <c r="N10" s="151" t="s">
        <v>646</v>
      </c>
      <c r="O10" s="151" t="s">
        <v>647</v>
      </c>
      <c r="P10" s="152" t="s">
        <v>648</v>
      </c>
      <c r="Q10" s="146" t="s">
        <v>637</v>
      </c>
      <c r="R10" s="136" t="s">
        <v>638</v>
      </c>
      <c r="S10" s="137" t="s">
        <v>639</v>
      </c>
      <c r="T10" s="137" t="s">
        <v>640</v>
      </c>
      <c r="U10" s="137" t="s">
        <v>641</v>
      </c>
      <c r="V10" s="137" t="s">
        <v>642</v>
      </c>
      <c r="W10" s="137" t="s">
        <v>643</v>
      </c>
      <c r="X10" s="138" t="s">
        <v>644</v>
      </c>
      <c r="Y10" s="295" t="s">
        <v>649</v>
      </c>
    </row>
    <row r="11" spans="2:26" ht="15" thickBot="1">
      <c r="B11" s="139" t="s">
        <v>498</v>
      </c>
      <c r="C11" s="140" t="s">
        <v>511</v>
      </c>
      <c r="D11" s="294" t="s">
        <v>247</v>
      </c>
      <c r="E11" s="164" t="s">
        <v>671</v>
      </c>
      <c r="F11" s="296" t="str">
        <f>VLOOKUP($E11,'BDEW-Standard'!$B$3:$M$158,F$9,0)</f>
        <v>AB4</v>
      </c>
      <c r="H11" s="167">
        <f>ROUND(VLOOKUP($E11,'BDEW-Standard'!$B$3:$M$158,H$9,0),7)</f>
        <v>0.35376400000000002</v>
      </c>
      <c r="I11" s="167">
        <f>ROUND(VLOOKUP($E11,'BDEW-Standard'!$B$3:$M$158,I$9,0),7)</f>
        <v>-33.35</v>
      </c>
      <c r="J11" s="167">
        <f>ROUND(VLOOKUP($E11,'BDEW-Standard'!$B$3:$M$158,J$9,0),7)</f>
        <v>5.7212303000000002</v>
      </c>
      <c r="K11" s="167">
        <f>ROUND(VLOOKUP($E11,'BDEW-Standard'!$B$3:$M$158,K$9,0),7)</f>
        <v>0.3033305</v>
      </c>
      <c r="L11" s="336">
        <f>ROUND(VLOOKUP($E11,'BDEW-Standard'!$B$3:$M$158,L$9,0),1)</f>
        <v>40</v>
      </c>
      <c r="M11" s="167">
        <f>ROUND(VLOOKUP($E11,'BDEW-Standard'!$B$3:$M$158,M$9,0),7)</f>
        <v>-1.77463E-2</v>
      </c>
      <c r="N11" s="167">
        <f>ROUND(VLOOKUP($E11,'BDEW-Standard'!$B$3:$M$158,N$9,0),7)</f>
        <v>0.68256989999999995</v>
      </c>
      <c r="O11" s="167">
        <f>ROUND(VLOOKUP($E11,'BDEW-Standard'!$B$3:$M$158,O$9,0),7)</f>
        <v>-1.3912E-3</v>
      </c>
      <c r="P11" s="167">
        <f>ROUND(VLOOKUP($E11,'BDEW-Standard'!$B$3:$M$158,P$9,0),7)</f>
        <v>0.54346240000000001</v>
      </c>
      <c r="Q11" s="337">
        <f>($H11/(1+($I11/($Q$9-$L11))^$J11)+$K11)+MAX($M11*$Q$9+$N11,$O11*$Q$9+$P11)</f>
        <v>1.0000003335127634</v>
      </c>
      <c r="R11" s="168">
        <f>ROUND(VLOOKUP(MID($E11,4,3),'Wochentag F(WT)'!$B$7:$J$22,R$9,0),4)</f>
        <v>1.0848</v>
      </c>
      <c r="S11" s="168">
        <f>ROUND(VLOOKUP(MID($E11,4,3),'Wochentag F(WT)'!$B$7:$J$22,S$9,0),4)</f>
        <v>1.1211</v>
      </c>
      <c r="T11" s="168">
        <f>ROUND(VLOOKUP(MID($E11,4,3),'Wochentag F(WT)'!$B$7:$J$22,T$9,0),4)</f>
        <v>1.0769</v>
      </c>
      <c r="U11" s="168">
        <f>ROUND(VLOOKUP(MID($E11,4,3),'Wochentag F(WT)'!$B$7:$J$22,U$9,0),4)</f>
        <v>1.1353</v>
      </c>
      <c r="V11" s="168">
        <f>ROUND(VLOOKUP(MID($E11,4,3),'Wochentag F(WT)'!$B$7:$J$22,V$9,0),4)</f>
        <v>1.1402000000000001</v>
      </c>
      <c r="W11" s="168">
        <f>ROUND(VLOOKUP(MID($E11,4,3),'Wochentag F(WT)'!$B$7:$J$22,W$9,0),4)</f>
        <v>0.48520000000000002</v>
      </c>
      <c r="X11" s="169">
        <f>7-SUM(R11:W11)</f>
        <v>0.95650000000000013</v>
      </c>
      <c r="Y11" s="292">
        <v>365.12299999999999</v>
      </c>
    </row>
    <row r="12" spans="2:26">
      <c r="B12" s="141">
        <v>1</v>
      </c>
      <c r="C12" s="142" t="str">
        <f t="shared" ref="C12:C41" si="0">$D$6</f>
        <v>Flughafen</v>
      </c>
      <c r="D12" s="62" t="s">
        <v>247</v>
      </c>
      <c r="E12" s="165" t="s">
        <v>671</v>
      </c>
      <c r="F12" s="297" t="str">
        <f>VLOOKUP($E12,'BDEW-Standard'!$B$3:$M$94,F$9,0)</f>
        <v>AB4</v>
      </c>
      <c r="H12" s="274" t="s">
        <v>684</v>
      </c>
      <c r="I12" s="274" t="s">
        <v>685</v>
      </c>
      <c r="J12" s="274" t="s">
        <v>686</v>
      </c>
      <c r="K12" s="274" t="s">
        <v>687</v>
      </c>
      <c r="L12" s="338">
        <f>ROUND(VLOOKUP($E12,'BDEW-Standard'!$B$3:$M$94,L$9,0),1)</f>
        <v>40</v>
      </c>
      <c r="M12" s="274" t="s">
        <v>740</v>
      </c>
      <c r="N12" s="274" t="s">
        <v>741</v>
      </c>
      <c r="O12" s="274">
        <v>-1.3912E-3</v>
      </c>
      <c r="P12" s="274" t="s">
        <v>742</v>
      </c>
      <c r="Q12" s="339">
        <f t="shared" ref="Q12:Q26" si="1">($H12/(1+($I12/($Q$9-$L12))^$J12)+$K12)+MAX($M12*$Q$9+$N12,$O12*$Q$9+$P12)</f>
        <v>1.0000003335127634</v>
      </c>
      <c r="R12" s="275" t="s">
        <v>846</v>
      </c>
      <c r="S12" s="275" t="s">
        <v>780</v>
      </c>
      <c r="T12" s="275" t="s">
        <v>781</v>
      </c>
      <c r="U12" s="275" t="s">
        <v>782</v>
      </c>
      <c r="V12" s="275" t="s">
        <v>783</v>
      </c>
      <c r="W12" s="275" t="s">
        <v>784</v>
      </c>
      <c r="X12" s="276" t="s">
        <v>785</v>
      </c>
      <c r="Y12" s="293"/>
      <c r="Z12" s="211"/>
    </row>
    <row r="13" spans="2:26" s="143" customFormat="1">
      <c r="B13" s="144">
        <v>2</v>
      </c>
      <c r="C13" s="145" t="str">
        <f t="shared" si="0"/>
        <v>Flughafen</v>
      </c>
      <c r="D13" s="62" t="s">
        <v>247</v>
      </c>
      <c r="E13" s="165" t="s">
        <v>672</v>
      </c>
      <c r="F13" s="297" t="str">
        <f>VLOOKUP($E13,'BDEW-Standard'!$B$3:$M$94,F$9,0)</f>
        <v>DB4</v>
      </c>
      <c r="H13" s="274" t="s">
        <v>688</v>
      </c>
      <c r="I13" s="274" t="s">
        <v>689</v>
      </c>
      <c r="J13" s="274" t="s">
        <v>690</v>
      </c>
      <c r="K13" s="274" t="s">
        <v>691</v>
      </c>
      <c r="L13" s="338">
        <f>ROUND(VLOOKUP($E13,'BDEW-Standard'!$B$3:$M$94,L$9,0),1)</f>
        <v>40</v>
      </c>
      <c r="M13" s="274" t="s">
        <v>743</v>
      </c>
      <c r="N13" s="274" t="s">
        <v>744</v>
      </c>
      <c r="O13" s="274">
        <v>-1.3133999999999999E-3</v>
      </c>
      <c r="P13" s="274" t="s">
        <v>745</v>
      </c>
      <c r="Q13" s="339">
        <f t="shared" si="1"/>
        <v>1.0000002163173649</v>
      </c>
      <c r="R13" s="275" t="s">
        <v>847</v>
      </c>
      <c r="S13" s="275" t="s">
        <v>786</v>
      </c>
      <c r="T13" s="275" t="s">
        <v>787</v>
      </c>
      <c r="U13" s="275" t="s">
        <v>788</v>
      </c>
      <c r="V13" s="275" t="s">
        <v>789</v>
      </c>
      <c r="W13" s="275" t="s">
        <v>790</v>
      </c>
      <c r="X13" s="276" t="s">
        <v>791</v>
      </c>
      <c r="Y13" s="293"/>
      <c r="Z13" s="211"/>
    </row>
    <row r="14" spans="2:26" s="143" customFormat="1">
      <c r="B14" s="144">
        <v>3</v>
      </c>
      <c r="C14" s="145" t="str">
        <f t="shared" si="0"/>
        <v>Flughafen</v>
      </c>
      <c r="D14" s="62" t="s">
        <v>247</v>
      </c>
      <c r="E14" s="165" t="s">
        <v>673</v>
      </c>
      <c r="F14" s="297" t="str">
        <f>VLOOKUP($E14,'BDEW-Standard'!$B$3:$M$94,F$9,0)</f>
        <v>HB4</v>
      </c>
      <c r="H14" s="274" t="s">
        <v>692</v>
      </c>
      <c r="I14" s="274" t="s">
        <v>693</v>
      </c>
      <c r="J14" s="274" t="s">
        <v>694</v>
      </c>
      <c r="K14" s="274" t="s">
        <v>695</v>
      </c>
      <c r="L14" s="338">
        <f>ROUND(VLOOKUP($E14,'BDEW-Standard'!$B$3:$M$94,L$9,0),1)</f>
        <v>40</v>
      </c>
      <c r="M14" s="274" t="s">
        <v>746</v>
      </c>
      <c r="N14" s="274" t="s">
        <v>747</v>
      </c>
      <c r="O14" s="274">
        <v>-2.2304E-3</v>
      </c>
      <c r="P14" s="274" t="s">
        <v>748</v>
      </c>
      <c r="Q14" s="339">
        <f t="shared" si="1"/>
        <v>1.0000002654795639</v>
      </c>
      <c r="R14" s="275" t="s">
        <v>808</v>
      </c>
      <c r="S14" s="275" t="s">
        <v>792</v>
      </c>
      <c r="T14" s="275" t="s">
        <v>793</v>
      </c>
      <c r="U14" s="275" t="s">
        <v>794</v>
      </c>
      <c r="V14" s="275" t="s">
        <v>795</v>
      </c>
      <c r="W14" s="275" t="s">
        <v>796</v>
      </c>
      <c r="X14" s="276" t="s">
        <v>797</v>
      </c>
      <c r="Y14" s="293"/>
      <c r="Z14" s="211"/>
    </row>
    <row r="15" spans="2:26" s="143" customFormat="1">
      <c r="B15" s="144">
        <v>4</v>
      </c>
      <c r="C15" s="145" t="str">
        <f t="shared" si="0"/>
        <v>Flughafen</v>
      </c>
      <c r="D15" s="62" t="s">
        <v>247</v>
      </c>
      <c r="E15" s="165" t="s">
        <v>674</v>
      </c>
      <c r="F15" s="297" t="str">
        <f>VLOOKUP($E15,'BDEW-Standard'!$B$3:$M$94,F$9,0)</f>
        <v>AG4</v>
      </c>
      <c r="H15" s="274" t="s">
        <v>696</v>
      </c>
      <c r="I15" s="274" t="s">
        <v>697</v>
      </c>
      <c r="J15" s="274" t="s">
        <v>698</v>
      </c>
      <c r="K15" s="274" t="s">
        <v>699</v>
      </c>
      <c r="L15" s="338">
        <f>ROUND(VLOOKUP($E15,'BDEW-Standard'!$B$3:$M$94,L$9,0),1)</f>
        <v>40</v>
      </c>
      <c r="M15" s="274" t="s">
        <v>749</v>
      </c>
      <c r="N15" s="274" t="s">
        <v>750</v>
      </c>
      <c r="O15" s="274">
        <v>-6.5870000000000002E-4</v>
      </c>
      <c r="P15" s="274" t="s">
        <v>751</v>
      </c>
      <c r="Q15" s="339">
        <f t="shared" si="1"/>
        <v>1.0000000851295017</v>
      </c>
      <c r="R15" s="275" t="s">
        <v>848</v>
      </c>
      <c r="S15" s="275" t="s">
        <v>798</v>
      </c>
      <c r="T15" s="275" t="s">
        <v>799</v>
      </c>
      <c r="U15" s="275" t="s">
        <v>800</v>
      </c>
      <c r="V15" s="275" t="s">
        <v>801</v>
      </c>
      <c r="W15" s="275" t="s">
        <v>802</v>
      </c>
      <c r="X15" s="276" t="s">
        <v>803</v>
      </c>
      <c r="Y15" s="293"/>
      <c r="Z15" s="211"/>
    </row>
    <row r="16" spans="2:26" s="143" customFormat="1">
      <c r="B16" s="144">
        <v>5</v>
      </c>
      <c r="C16" s="145" t="str">
        <f t="shared" si="0"/>
        <v>Flughafen</v>
      </c>
      <c r="D16" s="62" t="s">
        <v>247</v>
      </c>
      <c r="E16" s="165" t="s">
        <v>675</v>
      </c>
      <c r="F16" s="297" t="str">
        <f>VLOOKUP($E16,'BDEW-Standard'!$B$3:$M$94,F$9,0)</f>
        <v>BG4</v>
      </c>
      <c r="H16" s="274" t="s">
        <v>700</v>
      </c>
      <c r="I16" s="274" t="s">
        <v>701</v>
      </c>
      <c r="J16" s="274" t="s">
        <v>702</v>
      </c>
      <c r="K16" s="274" t="s">
        <v>703</v>
      </c>
      <c r="L16" s="338">
        <f>ROUND(VLOOKUP($E16,'BDEW-Standard'!$B$3:$M$94,L$9,0),1)</f>
        <v>40</v>
      </c>
      <c r="M16" s="274" t="s">
        <v>752</v>
      </c>
      <c r="N16" s="274" t="s">
        <v>753</v>
      </c>
      <c r="O16" s="274">
        <v>-1.1318999999999999E-3</v>
      </c>
      <c r="P16" s="274" t="s">
        <v>754</v>
      </c>
      <c r="Q16" s="339">
        <f t="shared" si="1"/>
        <v>0.99999994849712071</v>
      </c>
      <c r="R16" s="275" t="s">
        <v>849</v>
      </c>
      <c r="S16" s="275" t="s">
        <v>804</v>
      </c>
      <c r="T16" s="275" t="s">
        <v>805</v>
      </c>
      <c r="U16" s="275" t="s">
        <v>806</v>
      </c>
      <c r="V16" s="275" t="s">
        <v>807</v>
      </c>
      <c r="W16" s="275" t="s">
        <v>808</v>
      </c>
      <c r="X16" s="276" t="s">
        <v>809</v>
      </c>
      <c r="Y16" s="293"/>
      <c r="Z16" s="211"/>
    </row>
    <row r="17" spans="2:26" s="143" customFormat="1">
      <c r="B17" s="144">
        <v>6</v>
      </c>
      <c r="C17" s="145" t="str">
        <f t="shared" si="0"/>
        <v>Flughafen</v>
      </c>
      <c r="D17" s="62" t="s">
        <v>247</v>
      </c>
      <c r="E17" s="165" t="s">
        <v>676</v>
      </c>
      <c r="F17" s="297" t="str">
        <f>VLOOKUP($E17,'BDEW-Standard'!$B$3:$M$94,F$9,0)</f>
        <v>AH4</v>
      </c>
      <c r="H17" s="274" t="s">
        <v>704</v>
      </c>
      <c r="I17" s="274" t="s">
        <v>705</v>
      </c>
      <c r="J17" s="274" t="s">
        <v>706</v>
      </c>
      <c r="K17" s="274" t="s">
        <v>707</v>
      </c>
      <c r="L17" s="338">
        <f>ROUND(VLOOKUP($E17,'BDEW-Standard'!$B$3:$M$94,L$9,0),1)</f>
        <v>40</v>
      </c>
      <c r="M17" s="274" t="s">
        <v>755</v>
      </c>
      <c r="N17" s="274" t="s">
        <v>756</v>
      </c>
      <c r="O17" s="274">
        <v>-4.9200000000000003E-4</v>
      </c>
      <c r="P17" s="274" t="s">
        <v>757</v>
      </c>
      <c r="Q17" s="339">
        <f t="shared" si="1"/>
        <v>0.99999978825959834</v>
      </c>
      <c r="R17" s="275" t="s">
        <v>850</v>
      </c>
      <c r="S17" s="275" t="s">
        <v>810</v>
      </c>
      <c r="T17" s="275" t="s">
        <v>811</v>
      </c>
      <c r="U17" s="275" t="s">
        <v>812</v>
      </c>
      <c r="V17" s="275" t="s">
        <v>813</v>
      </c>
      <c r="W17" s="275" t="s">
        <v>814</v>
      </c>
      <c r="X17" s="276" t="s">
        <v>815</v>
      </c>
      <c r="Y17" s="293"/>
      <c r="Z17" s="211"/>
    </row>
    <row r="18" spans="2:26" s="143" customFormat="1">
      <c r="B18" s="144">
        <v>7</v>
      </c>
      <c r="C18" s="145" t="str">
        <f t="shared" si="0"/>
        <v>Flughafen</v>
      </c>
      <c r="D18" s="62" t="s">
        <v>247</v>
      </c>
      <c r="E18" s="165" t="s">
        <v>677</v>
      </c>
      <c r="F18" s="297" t="str">
        <f>VLOOKUP($E18,'BDEW-Standard'!$B$3:$M$94,F$9,0)</f>
        <v>DH4</v>
      </c>
      <c r="H18" s="274" t="s">
        <v>708</v>
      </c>
      <c r="I18" s="274" t="s">
        <v>709</v>
      </c>
      <c r="J18" s="274" t="s">
        <v>710</v>
      </c>
      <c r="K18" s="274" t="s">
        <v>711</v>
      </c>
      <c r="L18" s="338">
        <f>ROUND(VLOOKUP($E18,'BDEW-Standard'!$B$3:$M$94,L$9,0),1)</f>
        <v>40</v>
      </c>
      <c r="M18" s="274" t="s">
        <v>758</v>
      </c>
      <c r="N18" s="274" t="s">
        <v>759</v>
      </c>
      <c r="O18" s="274">
        <v>-8.5220000000000001E-4</v>
      </c>
      <c r="P18" s="274" t="s">
        <v>760</v>
      </c>
      <c r="Q18" s="339">
        <f t="shared" si="1"/>
        <v>1.0000000039369006</v>
      </c>
      <c r="R18" s="275" t="s">
        <v>816</v>
      </c>
      <c r="S18" s="275" t="s">
        <v>816</v>
      </c>
      <c r="T18" s="275" t="s">
        <v>817</v>
      </c>
      <c r="U18" s="275" t="s">
        <v>816</v>
      </c>
      <c r="V18" s="275" t="s">
        <v>818</v>
      </c>
      <c r="W18" s="275" t="s">
        <v>819</v>
      </c>
      <c r="X18" s="276" t="s">
        <v>820</v>
      </c>
      <c r="Y18" s="293"/>
      <c r="Z18" s="211"/>
    </row>
    <row r="19" spans="2:26" s="143" customFormat="1">
      <c r="B19" s="144">
        <v>8</v>
      </c>
      <c r="C19" s="145" t="str">
        <f t="shared" si="0"/>
        <v>Flughafen</v>
      </c>
      <c r="D19" s="62" t="s">
        <v>247</v>
      </c>
      <c r="E19" s="165" t="s">
        <v>518</v>
      </c>
      <c r="F19" s="297" t="str">
        <f>VLOOKUP($E19,'BDEW-Standard'!$B$3:$M$94,F$9,0)</f>
        <v>OK4</v>
      </c>
      <c r="H19" s="274" t="s">
        <v>712</v>
      </c>
      <c r="I19" s="274" t="s">
        <v>713</v>
      </c>
      <c r="J19" s="274" t="s">
        <v>714</v>
      </c>
      <c r="K19" s="274" t="s">
        <v>715</v>
      </c>
      <c r="L19" s="338">
        <f>ROUND(VLOOKUP($E19,'BDEW-Standard'!$B$3:$M$94,L$9,0),1)</f>
        <v>40</v>
      </c>
      <c r="M19" s="274" t="s">
        <v>761</v>
      </c>
      <c r="N19" s="274" t="s">
        <v>762</v>
      </c>
      <c r="O19" s="274">
        <v>-7.628E-4</v>
      </c>
      <c r="P19" s="274" t="s">
        <v>763</v>
      </c>
      <c r="Q19" s="339">
        <f t="shared" si="1"/>
        <v>0.99999998323532646</v>
      </c>
      <c r="R19" s="275" t="s">
        <v>851</v>
      </c>
      <c r="S19" s="275" t="s">
        <v>821</v>
      </c>
      <c r="T19" s="275" t="s">
        <v>822</v>
      </c>
      <c r="U19" s="275" t="s">
        <v>823</v>
      </c>
      <c r="V19" s="275" t="s">
        <v>824</v>
      </c>
      <c r="W19" s="275" t="s">
        <v>825</v>
      </c>
      <c r="X19" s="276" t="s">
        <v>826</v>
      </c>
      <c r="Y19" s="293"/>
      <c r="Z19" s="211"/>
    </row>
    <row r="20" spans="2:26" s="143" customFormat="1">
      <c r="B20" s="144">
        <v>9</v>
      </c>
      <c r="C20" s="145" t="str">
        <f t="shared" si="0"/>
        <v>Flughafen</v>
      </c>
      <c r="D20" s="62" t="s">
        <v>247</v>
      </c>
      <c r="E20" s="165" t="s">
        <v>678</v>
      </c>
      <c r="F20" s="297" t="str">
        <f>VLOOKUP($E20,'BDEW-Standard'!$B$3:$M$94,F$9,0)</f>
        <v>FM4</v>
      </c>
      <c r="H20" s="274" t="s">
        <v>716</v>
      </c>
      <c r="I20" s="274" t="s">
        <v>717</v>
      </c>
      <c r="J20" s="274" t="s">
        <v>718</v>
      </c>
      <c r="K20" s="274" t="s">
        <v>719</v>
      </c>
      <c r="L20" s="338">
        <f>ROUND(VLOOKUP($E20,'BDEW-Standard'!$B$3:$M$94,L$9,0),1)</f>
        <v>40</v>
      </c>
      <c r="M20" s="274" t="s">
        <v>764</v>
      </c>
      <c r="N20" s="274" t="s">
        <v>765</v>
      </c>
      <c r="O20" s="274">
        <v>-2.1757999999999999E-3</v>
      </c>
      <c r="P20" s="274" t="s">
        <v>766</v>
      </c>
      <c r="Q20" s="339">
        <f t="shared" si="1"/>
        <v>1.0000002009557505</v>
      </c>
      <c r="R20" s="275" t="s">
        <v>851</v>
      </c>
      <c r="S20" s="275" t="s">
        <v>821</v>
      </c>
      <c r="T20" s="275" t="s">
        <v>822</v>
      </c>
      <c r="U20" s="275" t="s">
        <v>823</v>
      </c>
      <c r="V20" s="275" t="s">
        <v>824</v>
      </c>
      <c r="W20" s="275" t="s">
        <v>825</v>
      </c>
      <c r="X20" s="276" t="s">
        <v>826</v>
      </c>
      <c r="Y20" s="293"/>
      <c r="Z20" s="211"/>
    </row>
    <row r="21" spans="2:26" s="143" customFormat="1">
      <c r="B21" s="144">
        <v>10</v>
      </c>
      <c r="C21" s="145" t="str">
        <f t="shared" si="0"/>
        <v>Flughafen</v>
      </c>
      <c r="D21" s="62" t="s">
        <v>247</v>
      </c>
      <c r="E21" s="165" t="s">
        <v>679</v>
      </c>
      <c r="F21" s="297" t="str">
        <f>VLOOKUP($E21,'BDEW-Standard'!$B$3:$M$94,F$9,0)</f>
        <v>KM4</v>
      </c>
      <c r="H21" s="274" t="s">
        <v>720</v>
      </c>
      <c r="I21" s="274" t="s">
        <v>721</v>
      </c>
      <c r="J21" s="274" t="s">
        <v>722</v>
      </c>
      <c r="K21" s="274" t="s">
        <v>723</v>
      </c>
      <c r="L21" s="338">
        <f>ROUND(VLOOKUP($E21,'BDEW-Standard'!$B$3:$M$94,L$9,0),1)</f>
        <v>40</v>
      </c>
      <c r="M21" s="274" t="s">
        <v>767</v>
      </c>
      <c r="N21" s="274" t="s">
        <v>768</v>
      </c>
      <c r="O21" s="274">
        <v>-8.9800000000000004E-4</v>
      </c>
      <c r="P21" s="274" t="s">
        <v>769</v>
      </c>
      <c r="Q21" s="339">
        <f t="shared" si="1"/>
        <v>0.99999980571056124</v>
      </c>
      <c r="R21" s="275" t="s">
        <v>852</v>
      </c>
      <c r="S21" s="275" t="s">
        <v>827</v>
      </c>
      <c r="T21" s="275" t="s">
        <v>828</v>
      </c>
      <c r="U21" s="275" t="s">
        <v>829</v>
      </c>
      <c r="V21" s="275" t="s">
        <v>830</v>
      </c>
      <c r="W21" s="275" t="s">
        <v>831</v>
      </c>
      <c r="X21" s="276" t="s">
        <v>832</v>
      </c>
      <c r="Y21" s="293"/>
      <c r="Z21" s="211"/>
    </row>
    <row r="22" spans="2:26" s="143" customFormat="1">
      <c r="B22" s="144">
        <v>11</v>
      </c>
      <c r="C22" s="145" t="str">
        <f t="shared" si="0"/>
        <v>Flughafen</v>
      </c>
      <c r="D22" s="62" t="s">
        <v>247</v>
      </c>
      <c r="E22" s="165" t="s">
        <v>680</v>
      </c>
      <c r="F22" s="297" t="str">
        <f>VLOOKUP($E22,'BDEW-Standard'!$B$3:$M$94,F$9,0)</f>
        <v>DP4</v>
      </c>
      <c r="H22" s="274" t="s">
        <v>724</v>
      </c>
      <c r="I22" s="274" t="s">
        <v>725</v>
      </c>
      <c r="J22" s="274" t="s">
        <v>726</v>
      </c>
      <c r="K22" s="274" t="s">
        <v>727</v>
      </c>
      <c r="L22" s="338">
        <f>ROUND(VLOOKUP($E22,'BDEW-Standard'!$B$3:$M$94,L$9,0),1)</f>
        <v>40</v>
      </c>
      <c r="M22" s="274" t="s">
        <v>770</v>
      </c>
      <c r="N22" s="274" t="s">
        <v>771</v>
      </c>
      <c r="O22" s="274">
        <v>-1.105E-4</v>
      </c>
      <c r="P22" s="274" t="s">
        <v>772</v>
      </c>
      <c r="Q22" s="339">
        <f t="shared" si="1"/>
        <v>0.99999976624159248</v>
      </c>
      <c r="R22" s="275" t="s">
        <v>853</v>
      </c>
      <c r="S22" s="275" t="s">
        <v>833</v>
      </c>
      <c r="T22" s="275" t="s">
        <v>834</v>
      </c>
      <c r="U22" s="275" t="s">
        <v>835</v>
      </c>
      <c r="V22" s="275" t="s">
        <v>836</v>
      </c>
      <c r="W22" s="275" t="s">
        <v>837</v>
      </c>
      <c r="X22" s="276" t="s">
        <v>838</v>
      </c>
      <c r="Y22" s="293"/>
      <c r="Z22" s="211"/>
    </row>
    <row r="23" spans="2:26" s="143" customFormat="1">
      <c r="B23" s="144">
        <v>12</v>
      </c>
      <c r="C23" s="145" t="str">
        <f t="shared" si="0"/>
        <v>Flughafen</v>
      </c>
      <c r="D23" s="62" t="s">
        <v>247</v>
      </c>
      <c r="E23" s="165" t="s">
        <v>681</v>
      </c>
      <c r="F23" s="297" t="str">
        <f>VLOOKUP($E23,'BDEW-Standard'!$B$3:$M$94,F$9,0)</f>
        <v>AW4</v>
      </c>
      <c r="H23" s="274" t="s">
        <v>728</v>
      </c>
      <c r="I23" s="274" t="s">
        <v>729</v>
      </c>
      <c r="J23" s="274" t="s">
        <v>730</v>
      </c>
      <c r="K23" s="274" t="s">
        <v>731</v>
      </c>
      <c r="L23" s="338">
        <f>ROUND(VLOOKUP($E23,'BDEW-Standard'!$B$3:$M$94,L$9,0),1)</f>
        <v>40</v>
      </c>
      <c r="M23" s="274" t="s">
        <v>773</v>
      </c>
      <c r="N23" s="274" t="s">
        <v>774</v>
      </c>
      <c r="O23" s="274">
        <v>-2.0301E-3</v>
      </c>
      <c r="P23" s="274" t="s">
        <v>775</v>
      </c>
      <c r="Q23" s="339">
        <f t="shared" si="1"/>
        <v>0.99999985965518789</v>
      </c>
      <c r="R23" s="275" t="s">
        <v>854</v>
      </c>
      <c r="S23" s="275" t="s">
        <v>839</v>
      </c>
      <c r="T23" s="275" t="s">
        <v>840</v>
      </c>
      <c r="U23" s="275" t="s">
        <v>841</v>
      </c>
      <c r="V23" s="275" t="s">
        <v>842</v>
      </c>
      <c r="W23" s="275" t="s">
        <v>843</v>
      </c>
      <c r="X23" s="276" t="s">
        <v>844</v>
      </c>
      <c r="Y23" s="293"/>
      <c r="Z23" s="211"/>
    </row>
    <row r="24" spans="2:26" s="143" customFormat="1">
      <c r="B24" s="144">
        <v>13</v>
      </c>
      <c r="C24" s="145" t="str">
        <f t="shared" si="0"/>
        <v>Flughafen</v>
      </c>
      <c r="D24" s="62" t="s">
        <v>247</v>
      </c>
      <c r="E24" s="165" t="s">
        <v>682</v>
      </c>
      <c r="F24" s="297" t="str">
        <f>VLOOKUP($E24,'BDEW-Standard'!$B$3:$M$94,F$9,0)</f>
        <v>1D4</v>
      </c>
      <c r="H24" s="274" t="s">
        <v>732</v>
      </c>
      <c r="I24" s="274" t="s">
        <v>733</v>
      </c>
      <c r="J24" s="274" t="s">
        <v>734</v>
      </c>
      <c r="K24" s="274" t="s">
        <v>735</v>
      </c>
      <c r="L24" s="338">
        <f>ROUND(VLOOKUP($E24,'BDEW-Standard'!$B$3:$M$94,L$9,0),1)</f>
        <v>40</v>
      </c>
      <c r="M24" s="274" t="s">
        <v>776</v>
      </c>
      <c r="N24" s="274" t="s">
        <v>777</v>
      </c>
      <c r="O24" s="274">
        <v>-1.9981999999999999E-3</v>
      </c>
      <c r="P24" s="274" t="s">
        <v>778</v>
      </c>
      <c r="Q24" s="339">
        <f t="shared" si="1"/>
        <v>0.99999980856445458</v>
      </c>
      <c r="R24" s="275" t="s">
        <v>845</v>
      </c>
      <c r="S24" s="275" t="s">
        <v>845</v>
      </c>
      <c r="T24" s="275" t="s">
        <v>845</v>
      </c>
      <c r="U24" s="275" t="s">
        <v>845</v>
      </c>
      <c r="V24" s="275" t="s">
        <v>845</v>
      </c>
      <c r="W24" s="275" t="s">
        <v>845</v>
      </c>
      <c r="X24" s="276" t="s">
        <v>845</v>
      </c>
      <c r="Y24" s="293"/>
      <c r="Z24" s="211"/>
    </row>
    <row r="25" spans="2:26" s="143" customFormat="1">
      <c r="B25" s="144">
        <v>14</v>
      </c>
      <c r="C25" s="145" t="str">
        <f t="shared" si="0"/>
        <v>Flughafen</v>
      </c>
      <c r="D25" s="62" t="s">
        <v>247</v>
      </c>
      <c r="E25" s="165" t="s">
        <v>4</v>
      </c>
      <c r="F25" s="297" t="str">
        <f>VLOOKUP($E25,'BDEW-Standard'!$B$3:$M$94,F$9,0)</f>
        <v>HK3</v>
      </c>
      <c r="H25" s="274" t="s">
        <v>736</v>
      </c>
      <c r="I25" s="274" t="s">
        <v>737</v>
      </c>
      <c r="J25" s="274" t="s">
        <v>738</v>
      </c>
      <c r="K25" s="274" t="s">
        <v>739</v>
      </c>
      <c r="L25" s="338">
        <f>ROUND(VLOOKUP($E25,'BDEW-Standard'!$B$3:$M$94,L$9,0),1)</f>
        <v>40</v>
      </c>
      <c r="M25" s="274" t="s">
        <v>779</v>
      </c>
      <c r="N25" s="274" t="s">
        <v>779</v>
      </c>
      <c r="O25" s="274">
        <v>0</v>
      </c>
      <c r="P25" s="274" t="s">
        <v>779</v>
      </c>
      <c r="Q25" s="339">
        <f t="shared" si="1"/>
        <v>1.0561214108512007</v>
      </c>
      <c r="R25" s="275" t="s">
        <v>845</v>
      </c>
      <c r="S25" s="275" t="s">
        <v>845</v>
      </c>
      <c r="T25" s="275" t="s">
        <v>845</v>
      </c>
      <c r="U25" s="275" t="s">
        <v>845</v>
      </c>
      <c r="V25" s="275" t="s">
        <v>845</v>
      </c>
      <c r="W25" s="275" t="s">
        <v>845</v>
      </c>
      <c r="X25" s="276" t="s">
        <v>845</v>
      </c>
      <c r="Y25" s="293"/>
      <c r="Z25" s="211"/>
    </row>
    <row r="26" spans="2:26" s="143" customFormat="1">
      <c r="B26" s="144">
        <v>15</v>
      </c>
      <c r="C26" s="145" t="str">
        <f t="shared" si="0"/>
        <v>Flughafen</v>
      </c>
      <c r="D26" s="62" t="s">
        <v>247</v>
      </c>
      <c r="E26" s="165" t="s">
        <v>683</v>
      </c>
      <c r="F26" s="297" t="str">
        <f>VLOOKUP($E26,'BDEW-Standard'!$B$3:$M$94,F$9,0)</f>
        <v>2D4</v>
      </c>
      <c r="H26" s="274" t="s">
        <v>716</v>
      </c>
      <c r="I26" s="274" t="s">
        <v>717</v>
      </c>
      <c r="J26" s="274" t="s">
        <v>718</v>
      </c>
      <c r="K26" s="274" t="s">
        <v>719</v>
      </c>
      <c r="L26" s="338">
        <f>ROUND(VLOOKUP($E26,'BDEW-Standard'!$B$3:$M$94,L$9,0),1)</f>
        <v>40</v>
      </c>
      <c r="M26" s="274" t="s">
        <v>764</v>
      </c>
      <c r="N26" s="274" t="s">
        <v>765</v>
      </c>
      <c r="O26" s="274">
        <v>-2.1757999999999999E-3</v>
      </c>
      <c r="P26" s="274" t="s">
        <v>766</v>
      </c>
      <c r="Q26" s="339">
        <f t="shared" si="1"/>
        <v>1.0000002009557505</v>
      </c>
      <c r="R26" s="275" t="s">
        <v>845</v>
      </c>
      <c r="S26" s="275" t="s">
        <v>845</v>
      </c>
      <c r="T26" s="275" t="s">
        <v>845</v>
      </c>
      <c r="U26" s="275" t="s">
        <v>845</v>
      </c>
      <c r="V26" s="275" t="s">
        <v>845</v>
      </c>
      <c r="W26" s="275" t="s">
        <v>845</v>
      </c>
      <c r="X26" s="276" t="s">
        <v>845</v>
      </c>
      <c r="Y26" s="293"/>
      <c r="Z26" s="211"/>
    </row>
    <row r="27" spans="2:26" s="143" customFormat="1">
      <c r="B27" s="144">
        <v>16</v>
      </c>
      <c r="C27" s="145" t="str">
        <f t="shared" si="0"/>
        <v>Flughafen</v>
      </c>
      <c r="D27" s="62"/>
      <c r="E27" s="166"/>
      <c r="F27" s="297"/>
      <c r="H27" s="277"/>
      <c r="I27" s="277"/>
      <c r="J27" s="277"/>
      <c r="K27" s="277"/>
      <c r="L27" s="338"/>
      <c r="M27" s="277"/>
      <c r="N27" s="277"/>
      <c r="O27" s="277"/>
      <c r="P27" s="277"/>
      <c r="Q27" s="340"/>
      <c r="R27" s="278"/>
      <c r="S27" s="278"/>
      <c r="T27" s="278"/>
      <c r="U27" s="278"/>
      <c r="V27" s="278"/>
      <c r="W27" s="278"/>
      <c r="X27" s="279"/>
      <c r="Y27" s="293"/>
    </row>
    <row r="28" spans="2:26" s="143" customFormat="1">
      <c r="B28" s="144">
        <v>17</v>
      </c>
      <c r="C28" s="145" t="str">
        <f t="shared" si="0"/>
        <v>Flughafen</v>
      </c>
      <c r="D28" s="62"/>
      <c r="E28" s="166"/>
      <c r="F28" s="297"/>
      <c r="H28" s="277"/>
      <c r="I28" s="277"/>
      <c r="J28" s="277"/>
      <c r="K28" s="277"/>
      <c r="L28" s="338"/>
      <c r="M28" s="277"/>
      <c r="N28" s="277"/>
      <c r="O28" s="277"/>
      <c r="P28" s="277"/>
      <c r="Q28" s="340"/>
      <c r="R28" s="278"/>
      <c r="S28" s="278"/>
      <c r="T28" s="278"/>
      <c r="U28" s="278"/>
      <c r="V28" s="278"/>
      <c r="W28" s="278"/>
      <c r="X28" s="279"/>
      <c r="Y28" s="293"/>
    </row>
    <row r="29" spans="2:26" s="143" customFormat="1">
      <c r="B29" s="144">
        <v>18</v>
      </c>
      <c r="C29" s="145" t="str">
        <f t="shared" si="0"/>
        <v>Flughafen</v>
      </c>
      <c r="D29" s="62"/>
      <c r="E29" s="166"/>
      <c r="F29" s="297"/>
      <c r="H29" s="277"/>
      <c r="I29" s="277"/>
      <c r="J29" s="277"/>
      <c r="K29" s="277"/>
      <c r="L29" s="338"/>
      <c r="M29" s="277"/>
      <c r="N29" s="277"/>
      <c r="O29" s="277"/>
      <c r="P29" s="277"/>
      <c r="Q29" s="340"/>
      <c r="R29" s="278"/>
      <c r="S29" s="278"/>
      <c r="T29" s="278"/>
      <c r="U29" s="278"/>
      <c r="V29" s="278"/>
      <c r="W29" s="278"/>
      <c r="X29" s="279"/>
      <c r="Y29" s="293"/>
    </row>
    <row r="30" spans="2:26" s="143" customFormat="1">
      <c r="B30" s="144">
        <v>19</v>
      </c>
      <c r="C30" s="145" t="str">
        <f t="shared" si="0"/>
        <v>Flughafen</v>
      </c>
      <c r="D30" s="62"/>
      <c r="E30" s="166"/>
      <c r="F30" s="297"/>
      <c r="H30" s="277"/>
      <c r="I30" s="277"/>
      <c r="J30" s="277"/>
      <c r="K30" s="277"/>
      <c r="L30" s="338"/>
      <c r="M30" s="277"/>
      <c r="N30" s="277"/>
      <c r="O30" s="277"/>
      <c r="P30" s="277"/>
      <c r="Q30" s="340"/>
      <c r="R30" s="278"/>
      <c r="S30" s="278"/>
      <c r="T30" s="278"/>
      <c r="U30" s="278"/>
      <c r="V30" s="278"/>
      <c r="W30" s="278"/>
      <c r="X30" s="279"/>
      <c r="Y30" s="293"/>
    </row>
    <row r="31" spans="2:26" s="143" customFormat="1">
      <c r="B31" s="144">
        <v>20</v>
      </c>
      <c r="C31" s="145" t="str">
        <f t="shared" si="0"/>
        <v>Flughafen</v>
      </c>
      <c r="D31" s="62"/>
      <c r="E31" s="166"/>
      <c r="F31" s="297"/>
      <c r="H31" s="277"/>
      <c r="I31" s="277"/>
      <c r="J31" s="277"/>
      <c r="K31" s="277"/>
      <c r="L31" s="338"/>
      <c r="M31" s="277"/>
      <c r="N31" s="277"/>
      <c r="O31" s="277"/>
      <c r="P31" s="277"/>
      <c r="Q31" s="340"/>
      <c r="R31" s="278"/>
      <c r="S31" s="278"/>
      <c r="T31" s="278"/>
      <c r="U31" s="278"/>
      <c r="V31" s="278"/>
      <c r="W31" s="278"/>
      <c r="X31" s="279"/>
      <c r="Y31" s="293"/>
    </row>
    <row r="32" spans="2:26" s="143" customFormat="1">
      <c r="B32" s="144">
        <v>21</v>
      </c>
      <c r="C32" s="145" t="str">
        <f t="shared" si="0"/>
        <v>Flughafen</v>
      </c>
      <c r="D32" s="62"/>
      <c r="E32" s="166"/>
      <c r="F32" s="297"/>
      <c r="H32" s="277"/>
      <c r="I32" s="277"/>
      <c r="J32" s="277"/>
      <c r="K32" s="277"/>
      <c r="L32" s="338"/>
      <c r="M32" s="277"/>
      <c r="N32" s="277"/>
      <c r="O32" s="277"/>
      <c r="P32" s="277"/>
      <c r="Q32" s="340"/>
      <c r="R32" s="278"/>
      <c r="S32" s="278"/>
      <c r="T32" s="278"/>
      <c r="U32" s="278"/>
      <c r="V32" s="278"/>
      <c r="W32" s="278"/>
      <c r="X32" s="279"/>
      <c r="Y32" s="293"/>
    </row>
    <row r="33" spans="2:25" s="143" customFormat="1">
      <c r="B33" s="144">
        <v>22</v>
      </c>
      <c r="C33" s="145" t="str">
        <f t="shared" si="0"/>
        <v>Flughafen</v>
      </c>
      <c r="D33" s="62"/>
      <c r="E33" s="166"/>
      <c r="F33" s="297"/>
      <c r="H33" s="277"/>
      <c r="I33" s="277"/>
      <c r="J33" s="277"/>
      <c r="K33" s="277"/>
      <c r="L33" s="338"/>
      <c r="M33" s="277"/>
      <c r="N33" s="277"/>
      <c r="O33" s="277"/>
      <c r="P33" s="277"/>
      <c r="Q33" s="340"/>
      <c r="R33" s="278"/>
      <c r="S33" s="278"/>
      <c r="T33" s="278"/>
      <c r="U33" s="278"/>
      <c r="V33" s="278"/>
      <c r="W33" s="278"/>
      <c r="X33" s="279"/>
      <c r="Y33" s="293"/>
    </row>
    <row r="34" spans="2:25" s="143" customFormat="1">
      <c r="B34" s="144">
        <v>23</v>
      </c>
      <c r="C34" s="145" t="str">
        <f t="shared" si="0"/>
        <v>Flughafen</v>
      </c>
      <c r="D34" s="62"/>
      <c r="E34" s="166"/>
      <c r="F34" s="297"/>
      <c r="H34" s="277"/>
      <c r="I34" s="277"/>
      <c r="J34" s="277"/>
      <c r="K34" s="277"/>
      <c r="L34" s="338"/>
      <c r="M34" s="277"/>
      <c r="N34" s="277"/>
      <c r="O34" s="277"/>
      <c r="P34" s="277"/>
      <c r="Q34" s="340"/>
      <c r="R34" s="278"/>
      <c r="S34" s="278"/>
      <c r="T34" s="278"/>
      <c r="U34" s="278"/>
      <c r="V34" s="278"/>
      <c r="W34" s="278"/>
      <c r="X34" s="279"/>
      <c r="Y34" s="293"/>
    </row>
    <row r="35" spans="2:25" s="143" customFormat="1">
      <c r="B35" s="144">
        <v>24</v>
      </c>
      <c r="C35" s="145" t="str">
        <f t="shared" si="0"/>
        <v>Flughafen</v>
      </c>
      <c r="D35" s="62"/>
      <c r="E35" s="166"/>
      <c r="F35" s="297"/>
      <c r="H35" s="277"/>
      <c r="I35" s="277"/>
      <c r="J35" s="277"/>
      <c r="K35" s="277"/>
      <c r="L35" s="338"/>
      <c r="M35" s="277"/>
      <c r="N35" s="277"/>
      <c r="O35" s="277"/>
      <c r="P35" s="277"/>
      <c r="Q35" s="340"/>
      <c r="R35" s="278"/>
      <c r="S35" s="278"/>
      <c r="T35" s="278"/>
      <c r="U35" s="278"/>
      <c r="V35" s="278"/>
      <c r="W35" s="278"/>
      <c r="X35" s="279"/>
      <c r="Y35" s="293"/>
    </row>
    <row r="36" spans="2:25" s="143" customFormat="1">
      <c r="B36" s="144">
        <v>25</v>
      </c>
      <c r="C36" s="145" t="str">
        <f t="shared" si="0"/>
        <v>Flughafen</v>
      </c>
      <c r="D36" s="62"/>
      <c r="E36" s="166"/>
      <c r="F36" s="297"/>
      <c r="H36" s="277"/>
      <c r="I36" s="277"/>
      <c r="J36" s="277"/>
      <c r="K36" s="277"/>
      <c r="L36" s="338"/>
      <c r="M36" s="277"/>
      <c r="N36" s="277"/>
      <c r="O36" s="277"/>
      <c r="P36" s="277"/>
      <c r="Q36" s="340"/>
      <c r="R36" s="278"/>
      <c r="S36" s="278"/>
      <c r="T36" s="278"/>
      <c r="U36" s="278"/>
      <c r="V36" s="278"/>
      <c r="W36" s="278"/>
      <c r="X36" s="279"/>
      <c r="Y36" s="293"/>
    </row>
    <row r="37" spans="2:25" s="143" customFormat="1">
      <c r="B37" s="144">
        <v>26</v>
      </c>
      <c r="C37" s="145" t="str">
        <f t="shared" si="0"/>
        <v>Flughafen</v>
      </c>
      <c r="D37" s="62"/>
      <c r="E37" s="166"/>
      <c r="F37" s="297"/>
      <c r="H37" s="277"/>
      <c r="I37" s="277"/>
      <c r="J37" s="277"/>
      <c r="K37" s="277"/>
      <c r="L37" s="338"/>
      <c r="M37" s="277"/>
      <c r="N37" s="277"/>
      <c r="O37" s="277"/>
      <c r="P37" s="277"/>
      <c r="Q37" s="340"/>
      <c r="R37" s="278"/>
      <c r="S37" s="278"/>
      <c r="T37" s="278"/>
      <c r="U37" s="278"/>
      <c r="V37" s="278"/>
      <c r="W37" s="278"/>
      <c r="X37" s="279"/>
      <c r="Y37" s="293"/>
    </row>
    <row r="38" spans="2:25" s="143" customFormat="1">
      <c r="B38" s="144">
        <v>27</v>
      </c>
      <c r="C38" s="145" t="str">
        <f t="shared" si="0"/>
        <v>Flughafen</v>
      </c>
      <c r="D38" s="62"/>
      <c r="E38" s="166"/>
      <c r="F38" s="297"/>
      <c r="H38" s="277"/>
      <c r="I38" s="277"/>
      <c r="J38" s="277"/>
      <c r="K38" s="277"/>
      <c r="L38" s="338"/>
      <c r="M38" s="277"/>
      <c r="N38" s="277"/>
      <c r="O38" s="277"/>
      <c r="P38" s="277"/>
      <c r="Q38" s="340"/>
      <c r="R38" s="278"/>
      <c r="S38" s="278"/>
      <c r="T38" s="278"/>
      <c r="U38" s="278"/>
      <c r="V38" s="278"/>
      <c r="W38" s="278"/>
      <c r="X38" s="279"/>
      <c r="Y38" s="293"/>
    </row>
    <row r="39" spans="2:25" s="143" customFormat="1">
      <c r="B39" s="144">
        <v>28</v>
      </c>
      <c r="C39" s="145" t="str">
        <f t="shared" si="0"/>
        <v>Flughafen</v>
      </c>
      <c r="D39" s="62"/>
      <c r="E39" s="166"/>
      <c r="F39" s="297"/>
      <c r="H39" s="277"/>
      <c r="I39" s="277"/>
      <c r="J39" s="277"/>
      <c r="K39" s="277"/>
      <c r="L39" s="338"/>
      <c r="M39" s="277"/>
      <c r="N39" s="277"/>
      <c r="O39" s="277"/>
      <c r="P39" s="277"/>
      <c r="Q39" s="340"/>
      <c r="R39" s="278"/>
      <c r="S39" s="278"/>
      <c r="T39" s="278"/>
      <c r="U39" s="278"/>
      <c r="V39" s="278"/>
      <c r="W39" s="278"/>
      <c r="X39" s="279"/>
      <c r="Y39" s="293"/>
    </row>
    <row r="40" spans="2:25" s="143" customFormat="1">
      <c r="B40" s="144">
        <v>29</v>
      </c>
      <c r="C40" s="145" t="str">
        <f t="shared" si="0"/>
        <v>Flughafen</v>
      </c>
      <c r="D40" s="62"/>
      <c r="E40" s="166"/>
      <c r="F40" s="297"/>
      <c r="H40" s="277"/>
      <c r="I40" s="277"/>
      <c r="J40" s="277"/>
      <c r="K40" s="277"/>
      <c r="L40" s="338"/>
      <c r="M40" s="277"/>
      <c r="N40" s="277"/>
      <c r="O40" s="277"/>
      <c r="P40" s="277"/>
      <c r="Q40" s="340"/>
      <c r="R40" s="278"/>
      <c r="S40" s="278"/>
      <c r="T40" s="278"/>
      <c r="U40" s="278"/>
      <c r="V40" s="278"/>
      <c r="W40" s="278"/>
      <c r="X40" s="279"/>
      <c r="Y40" s="293"/>
    </row>
    <row r="41" spans="2:25" s="143" customFormat="1">
      <c r="B41" s="144">
        <v>30</v>
      </c>
      <c r="C41" s="145" t="str">
        <f t="shared" si="0"/>
        <v>Flughafen</v>
      </c>
      <c r="D41" s="62"/>
      <c r="E41" s="166"/>
      <c r="F41" s="297"/>
      <c r="H41" s="277"/>
      <c r="I41" s="277"/>
      <c r="J41" s="277"/>
      <c r="K41" s="277"/>
      <c r="L41" s="338"/>
      <c r="M41" s="277"/>
      <c r="N41" s="277"/>
      <c r="O41" s="277"/>
      <c r="P41" s="277"/>
      <c r="Q41" s="340"/>
      <c r="R41" s="278"/>
      <c r="S41" s="278"/>
      <c r="T41" s="278"/>
      <c r="U41" s="278"/>
      <c r="V41" s="278"/>
      <c r="W41" s="278"/>
      <c r="X41" s="279"/>
      <c r="Y41" s="29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H11:K41 R11:Y41 F11:F41 M11:P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F12:F24 C13:C33 C34:C41 Q12:Q24" unlockedFormula="1"/>
    <ignoredError sqref="L12:L24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50"/>
    <pageSetUpPr fitToPage="1"/>
  </sheetPr>
  <dimension ref="A1:AE35"/>
  <sheetViews>
    <sheetView showGridLines="0" zoomScale="80" zoomScaleNormal="80" workbookViewId="0">
      <selection activeCell="H29" sqref="H29"/>
    </sheetView>
  </sheetViews>
  <sheetFormatPr baseColWidth="10" defaultColWidth="0" defaultRowHeight="12.5" zeroHeight="1"/>
  <cols>
    <col min="1" max="1" width="2.81640625" style="75" customWidth="1"/>
    <col min="2" max="2" width="15.1796875" style="75" customWidth="1"/>
    <col min="3" max="3" width="14.7265625" style="75" customWidth="1"/>
    <col min="4" max="4" width="5.81640625" style="75" hidden="1" customWidth="1"/>
    <col min="5" max="5" width="5.1796875" style="75" customWidth="1"/>
    <col min="6" max="12" width="12.7265625" style="75" customWidth="1"/>
    <col min="13" max="30" width="5.7265625" style="75" customWidth="1"/>
    <col min="31" max="31" width="11.453125" style="75" customWidth="1"/>
    <col min="32" max="16384" width="11.453125" style="75" hidden="1"/>
  </cols>
  <sheetData>
    <row r="1" spans="2:30" ht="75" customHeight="1"/>
    <row r="2" spans="2:30" ht="23">
      <c r="B2" s="84" t="s">
        <v>448</v>
      </c>
    </row>
    <row r="3" spans="2:30" ht="15" customHeight="1">
      <c r="B3" s="84"/>
    </row>
    <row r="4" spans="2:30" ht="15" customHeight="1">
      <c r="B4" s="85" t="s">
        <v>447</v>
      </c>
      <c r="C4" s="63" t="str">
        <f>Netzbetreiber!$D$9</f>
        <v>enercity Flughafen Netz GmbH</v>
      </c>
      <c r="D4" s="76"/>
      <c r="G4" s="76"/>
      <c r="I4" s="76"/>
      <c r="J4" s="77"/>
      <c r="M4" s="86" t="s">
        <v>540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4.5">
      <c r="B5" s="87" t="s">
        <v>446</v>
      </c>
      <c r="C5" s="64" t="str">
        <f>Netzbetreiber!$D$28</f>
        <v>Flughafen</v>
      </c>
      <c r="D5" s="37"/>
      <c r="E5" s="76"/>
      <c r="F5" s="76"/>
      <c r="G5" s="76"/>
      <c r="I5" s="76"/>
      <c r="J5" s="76"/>
      <c r="K5" s="76"/>
      <c r="L5" s="76"/>
      <c r="M5" s="88" t="s">
        <v>509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4.5">
      <c r="B6" s="85" t="s">
        <v>444</v>
      </c>
      <c r="C6" s="63" t="str">
        <f>Netzbetreiber!$D$11</f>
        <v>9907818000001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" thickBot="1">
      <c r="B7" s="85" t="s">
        <v>133</v>
      </c>
      <c r="C7" s="59">
        <f>Netzbetreiber!$D$6</f>
        <v>44927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50" t="s">
        <v>460</v>
      </c>
      <c r="N8" s="351"/>
      <c r="O8" s="351"/>
      <c r="P8" s="351"/>
      <c r="Q8" s="351"/>
      <c r="R8" s="351"/>
      <c r="S8" s="351"/>
      <c r="T8" s="351"/>
      <c r="U8" s="351"/>
      <c r="V8" s="351"/>
      <c r="W8" s="351"/>
      <c r="X8" s="351"/>
      <c r="Y8" s="351"/>
      <c r="Z8" s="351"/>
      <c r="AA8" s="351"/>
      <c r="AB8" s="351"/>
      <c r="AC8" s="351"/>
      <c r="AD8" s="352"/>
    </row>
    <row r="9" spans="2:30" ht="1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469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429</v>
      </c>
    </row>
    <row r="10" spans="2:30" ht="72" customHeight="1" thickBot="1">
      <c r="B10" s="355" t="s">
        <v>584</v>
      </c>
      <c r="C10" s="356"/>
      <c r="D10" s="94">
        <v>2</v>
      </c>
      <c r="E10" s="95" t="str">
        <f>IF(ISERROR(HLOOKUP(E$11,$M$9:$AD$33,$D10,0)),"",HLOOKUP(E$11,$M$9:$AD$33,$D10,0))</f>
        <v/>
      </c>
      <c r="F10" s="353" t="s">
        <v>398</v>
      </c>
      <c r="G10" s="353"/>
      <c r="H10" s="353"/>
      <c r="I10" s="353"/>
      <c r="J10" s="353"/>
      <c r="K10" s="353"/>
      <c r="L10" s="354"/>
      <c r="M10" s="96" t="s">
        <v>470</v>
      </c>
      <c r="N10" s="97" t="s">
        <v>471</v>
      </c>
      <c r="O10" s="98" t="s">
        <v>472</v>
      </c>
      <c r="P10" s="99" t="s">
        <v>473</v>
      </c>
      <c r="Q10" s="99" t="s">
        <v>474</v>
      </c>
      <c r="R10" s="99" t="s">
        <v>475</v>
      </c>
      <c r="S10" s="99" t="s">
        <v>476</v>
      </c>
      <c r="T10" s="99" t="s">
        <v>477</v>
      </c>
      <c r="U10" s="99" t="s">
        <v>478</v>
      </c>
      <c r="V10" s="99" t="s">
        <v>479</v>
      </c>
      <c r="W10" s="99" t="s">
        <v>480</v>
      </c>
      <c r="X10" s="99" t="s">
        <v>481</v>
      </c>
      <c r="Y10" s="99" t="s">
        <v>482</v>
      </c>
      <c r="Z10" s="99" t="s">
        <v>483</v>
      </c>
      <c r="AA10" s="99" t="s">
        <v>484</v>
      </c>
      <c r="AB10" s="99" t="s">
        <v>485</v>
      </c>
      <c r="AC10" s="100" t="s">
        <v>486</v>
      </c>
      <c r="AD10" s="101" t="s">
        <v>430</v>
      </c>
    </row>
    <row r="11" spans="2:30" ht="15" thickBot="1">
      <c r="B11" s="102" t="s">
        <v>421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4.5">
      <c r="B12" s="109" t="s">
        <v>399</v>
      </c>
      <c r="C12" s="110"/>
      <c r="D12" s="111">
        <v>4</v>
      </c>
      <c r="E12" s="304">
        <f>MIN(SUMPRODUCT($M$11:$AD$11,M12:AD12),1)</f>
        <v>1</v>
      </c>
      <c r="F12" s="301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4.5">
      <c r="B13" s="116" t="s">
        <v>400</v>
      </c>
      <c r="C13" s="117"/>
      <c r="D13" s="111">
        <v>5</v>
      </c>
      <c r="E13" s="305">
        <f t="shared" ref="E13:E33" si="0">MIN(SUMPRODUCT($M$11:$AD$11,M13:AD13),1)</f>
        <v>0</v>
      </c>
      <c r="F13" s="302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4.5">
      <c r="B14" s="116" t="s">
        <v>401</v>
      </c>
      <c r="C14" s="117"/>
      <c r="D14" s="111">
        <v>6</v>
      </c>
      <c r="E14" s="305">
        <f t="shared" si="0"/>
        <v>0</v>
      </c>
      <c r="F14" s="302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4.5">
      <c r="B15" s="116" t="s">
        <v>403</v>
      </c>
      <c r="C15" s="117"/>
      <c r="D15" s="111">
        <v>7</v>
      </c>
      <c r="E15" s="305">
        <f t="shared" si="0"/>
        <v>0</v>
      </c>
      <c r="F15" s="302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4.5">
      <c r="B16" s="121" t="s">
        <v>415</v>
      </c>
      <c r="C16" s="117"/>
      <c r="D16" s="111">
        <v>8</v>
      </c>
      <c r="E16" s="305">
        <f t="shared" si="0"/>
        <v>1</v>
      </c>
      <c r="F16" s="302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4.5">
      <c r="B17" s="121" t="s">
        <v>416</v>
      </c>
      <c r="C17" s="117"/>
      <c r="D17" s="111">
        <v>9</v>
      </c>
      <c r="E17" s="305">
        <f t="shared" si="0"/>
        <v>1</v>
      </c>
      <c r="F17" s="302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4.5">
      <c r="B18" s="121" t="s">
        <v>417</v>
      </c>
      <c r="C18" s="117"/>
      <c r="D18" s="111">
        <v>10</v>
      </c>
      <c r="E18" s="305">
        <f t="shared" si="0"/>
        <v>1</v>
      </c>
      <c r="F18" s="302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4.5">
      <c r="B19" s="121" t="s">
        <v>404</v>
      </c>
      <c r="C19" s="117"/>
      <c r="D19" s="111">
        <v>11</v>
      </c>
      <c r="E19" s="305">
        <f t="shared" si="0"/>
        <v>1</v>
      </c>
      <c r="F19" s="302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4.5">
      <c r="B20" s="121" t="s">
        <v>650</v>
      </c>
      <c r="C20" s="117"/>
      <c r="D20" s="111">
        <v>12</v>
      </c>
      <c r="E20" s="305">
        <f t="shared" si="0"/>
        <v>1</v>
      </c>
      <c r="F20" s="302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4.5">
      <c r="B21" s="121" t="s">
        <v>418</v>
      </c>
      <c r="C21" s="117"/>
      <c r="D21" s="111">
        <v>13</v>
      </c>
      <c r="E21" s="305">
        <f t="shared" si="0"/>
        <v>1</v>
      </c>
      <c r="F21" s="302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4.5">
      <c r="B22" s="121" t="s">
        <v>419</v>
      </c>
      <c r="C22" s="117"/>
      <c r="D22" s="111">
        <v>14</v>
      </c>
      <c r="E22" s="305">
        <f t="shared" si="0"/>
        <v>1</v>
      </c>
      <c r="F22" s="302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4.5">
      <c r="B23" s="116" t="s">
        <v>420</v>
      </c>
      <c r="C23" s="117"/>
      <c r="D23" s="111">
        <v>15</v>
      </c>
      <c r="E23" s="305">
        <f t="shared" si="0"/>
        <v>0</v>
      </c>
      <c r="F23" s="302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4.5">
      <c r="B24" s="116" t="s">
        <v>405</v>
      </c>
      <c r="C24" s="117"/>
      <c r="D24" s="111">
        <v>16</v>
      </c>
      <c r="E24" s="305">
        <f t="shared" si="0"/>
        <v>0</v>
      </c>
      <c r="F24" s="302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4.5">
      <c r="B25" s="116" t="s">
        <v>406</v>
      </c>
      <c r="C25" s="117"/>
      <c r="D25" s="111">
        <v>17</v>
      </c>
      <c r="E25" s="305">
        <f t="shared" si="0"/>
        <v>0</v>
      </c>
      <c r="F25" s="302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4.5">
      <c r="B26" s="121" t="s">
        <v>407</v>
      </c>
      <c r="C26" s="117"/>
      <c r="D26" s="111">
        <v>18</v>
      </c>
      <c r="E26" s="305">
        <f t="shared" si="0"/>
        <v>1</v>
      </c>
      <c r="F26" s="302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4.5">
      <c r="B27" s="116" t="s">
        <v>408</v>
      </c>
      <c r="C27" s="117"/>
      <c r="D27" s="111">
        <v>19</v>
      </c>
      <c r="E27" s="305">
        <f t="shared" si="0"/>
        <v>0</v>
      </c>
      <c r="F27" s="302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112"/>
      <c r="N27" s="118"/>
      <c r="O27" s="119"/>
      <c r="P27" s="119"/>
      <c r="Q27" s="119"/>
      <c r="R27" s="119"/>
      <c r="S27" s="119">
        <v>1</v>
      </c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4.5">
      <c r="B28" s="116" t="s">
        <v>409</v>
      </c>
      <c r="C28" s="117"/>
      <c r="D28" s="111">
        <v>20</v>
      </c>
      <c r="E28" s="305">
        <f t="shared" si="0"/>
        <v>0</v>
      </c>
      <c r="F28" s="302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4.5">
      <c r="B29" s="116" t="s">
        <v>410</v>
      </c>
      <c r="C29" s="117"/>
      <c r="D29" s="111">
        <v>21</v>
      </c>
      <c r="E29" s="305">
        <f t="shared" si="0"/>
        <v>0</v>
      </c>
      <c r="F29" s="302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4.5">
      <c r="B30" s="116" t="s">
        <v>411</v>
      </c>
      <c r="C30" s="117"/>
      <c r="D30" s="111">
        <v>22</v>
      </c>
      <c r="E30" s="305">
        <f t="shared" si="0"/>
        <v>0</v>
      </c>
      <c r="F30" s="302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4.5">
      <c r="B31" s="121" t="s">
        <v>412</v>
      </c>
      <c r="C31" s="117"/>
      <c r="D31" s="111">
        <v>23</v>
      </c>
      <c r="E31" s="305">
        <f t="shared" si="0"/>
        <v>1</v>
      </c>
      <c r="F31" s="302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4.5">
      <c r="B32" s="121" t="s">
        <v>413</v>
      </c>
      <c r="C32" s="117"/>
      <c r="D32" s="111">
        <v>24</v>
      </c>
      <c r="E32" s="305">
        <f t="shared" si="0"/>
        <v>1</v>
      </c>
      <c r="F32" s="302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5" thickBot="1">
      <c r="B33" s="122" t="s">
        <v>414</v>
      </c>
      <c r="C33" s="123"/>
      <c r="D33" s="124">
        <v>25</v>
      </c>
      <c r="E33" s="306">
        <f t="shared" si="0"/>
        <v>0</v>
      </c>
      <c r="F33" s="303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600-000000000000}">
      <formula1>$M$9:$AD$9</formula1>
    </dataValidation>
    <dataValidation type="list" allowBlank="1" showInputMessage="1" showErrorMessage="1" sqref="M11:AD11" xr:uid="{00000000-0002-0000-0600-000001000000}">
      <formula1>"1,0"</formula1>
    </dataValidation>
    <dataValidation type="list" allowBlank="1" showInputMessage="1" showErrorMessage="1" sqref="AD12:AD33" xr:uid="{00000000-0002-0000-0600-000002000000}">
      <formula1>"1, "</formula1>
    </dataValidation>
    <dataValidation type="list" allowBlank="1" showInputMessage="1" showErrorMessage="1" sqref="F12:L33" xr:uid="{00000000-0002-0000-06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rgb="FFC00000"/>
  </sheetPr>
  <dimension ref="A1:N158"/>
  <sheetViews>
    <sheetView showGridLines="0" zoomScale="80" zoomScaleNormal="80" workbookViewId="0">
      <selection activeCell="B12" sqref="B12"/>
    </sheetView>
  </sheetViews>
  <sheetFormatPr baseColWidth="10" defaultColWidth="11.453125" defaultRowHeight="14.5"/>
  <cols>
    <col min="1" max="3" width="11.453125" style="128"/>
    <col min="4" max="4" width="19.81640625" style="128" customWidth="1"/>
    <col min="5" max="9" width="16" style="128" customWidth="1"/>
    <col min="10" max="10" width="15.1796875" style="128" customWidth="1"/>
    <col min="11" max="12" width="16" style="128" customWidth="1"/>
    <col min="13" max="13" width="15.26953125" style="128" customWidth="1"/>
    <col min="14" max="16384" width="11.453125" style="128"/>
  </cols>
  <sheetData>
    <row r="1" spans="1:14">
      <c r="A1" s="212" t="s">
        <v>347</v>
      </c>
      <c r="B1" s="213">
        <v>42173</v>
      </c>
      <c r="D1" s="131" t="s">
        <v>456</v>
      </c>
      <c r="F1" s="214" t="s">
        <v>546</v>
      </c>
      <c r="N1" s="215"/>
    </row>
    <row r="2" spans="1:14" ht="25">
      <c r="A2" s="216" t="s">
        <v>271</v>
      </c>
      <c r="B2" s="217" t="s">
        <v>146</v>
      </c>
      <c r="C2" s="218" t="s">
        <v>148</v>
      </c>
      <c r="D2" s="219" t="s">
        <v>149</v>
      </c>
      <c r="E2" s="220" t="s">
        <v>0</v>
      </c>
      <c r="F2" s="220" t="s">
        <v>1</v>
      </c>
      <c r="G2" s="220" t="s">
        <v>2</v>
      </c>
      <c r="H2" s="220" t="s">
        <v>3</v>
      </c>
      <c r="I2" s="221" t="s">
        <v>70</v>
      </c>
      <c r="J2" s="220" t="s">
        <v>150</v>
      </c>
      <c r="K2" s="220" t="s">
        <v>151</v>
      </c>
      <c r="L2" s="220" t="s">
        <v>152</v>
      </c>
      <c r="M2" s="222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3" t="str">
        <f>IF(A3="SLP-TUM",LEFT(D3,3),"")&amp;IF(A3="SLP-FfE",MID(#REF!,2,1)&amp;MID(#REF!,1,1)&amp;MID(#REF!,3,1),"")</f>
        <v>D13</v>
      </c>
      <c r="D3" s="224" t="s">
        <v>153</v>
      </c>
      <c r="E3" s="307">
        <v>3.0469694600000001</v>
      </c>
      <c r="F3" s="308">
        <v>-37.183314129999999</v>
      </c>
      <c r="G3" s="307">
        <v>5.6727846619999998</v>
      </c>
      <c r="H3" s="307">
        <v>9.6193059999999997E-2</v>
      </c>
      <c r="I3" s="309">
        <v>40</v>
      </c>
      <c r="J3" s="310">
        <v>0</v>
      </c>
      <c r="K3" s="310">
        <v>0</v>
      </c>
      <c r="L3" s="310">
        <v>0</v>
      </c>
      <c r="M3" s="31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8" t="str">
        <f t="shared" ref="C4:C67" si="3">IF(A4="SLP-TUM",LEFT(D4,3),"")&amp;IF(A4="SLP-FfE",MID(D1,2,1)&amp;MID(D1,1,1)&amp;MID(D1,3,1),"")</f>
        <v>D14</v>
      </c>
      <c r="D4" s="224" t="s">
        <v>154</v>
      </c>
      <c r="E4" s="307">
        <v>3.1850191300000001</v>
      </c>
      <c r="F4" s="307">
        <v>-37.412415490000001</v>
      </c>
      <c r="G4" s="307">
        <v>6.1723178729999999</v>
      </c>
      <c r="H4" s="307">
        <v>7.6109594000000003E-2</v>
      </c>
      <c r="I4" s="309">
        <v>40</v>
      </c>
      <c r="J4" s="310">
        <v>0</v>
      </c>
      <c r="K4" s="310">
        <v>0</v>
      </c>
      <c r="L4" s="310">
        <v>0</v>
      </c>
      <c r="M4" s="31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8" t="str">
        <f t="shared" si="3"/>
        <v>D15</v>
      </c>
      <c r="D5" s="224" t="s">
        <v>155</v>
      </c>
      <c r="E5" s="307">
        <v>3.3456666720000001</v>
      </c>
      <c r="F5" s="307">
        <v>-37.52683159</v>
      </c>
      <c r="G5" s="307">
        <v>6.4328936829999996</v>
      </c>
      <c r="H5" s="307">
        <v>5.6256618000000001E-2</v>
      </c>
      <c r="I5" s="309">
        <v>40</v>
      </c>
      <c r="J5" s="310">
        <v>0</v>
      </c>
      <c r="K5" s="310">
        <v>0</v>
      </c>
      <c r="L5" s="310">
        <v>0</v>
      </c>
      <c r="M5" s="31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8" t="str">
        <f t="shared" si="3"/>
        <v>1D3</v>
      </c>
      <c r="D6" s="224" t="s">
        <v>156</v>
      </c>
      <c r="E6" s="312">
        <v>1.6209544222121799</v>
      </c>
      <c r="F6" s="312">
        <v>-37.183314129999999</v>
      </c>
      <c r="G6" s="312">
        <v>5.6727846619999998</v>
      </c>
      <c r="H6" s="312">
        <v>7.16431179426293E-2</v>
      </c>
      <c r="I6" s="313">
        <v>40</v>
      </c>
      <c r="J6" s="314">
        <v>-4.9570015603147999E-2</v>
      </c>
      <c r="K6" s="314">
        <v>0.84010145808052905</v>
      </c>
      <c r="L6" s="314">
        <v>-2.20902646706885E-3</v>
      </c>
      <c r="M6" s="31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8" t="str">
        <f t="shared" si="3"/>
        <v>1D4</v>
      </c>
      <c r="D7" s="224" t="s">
        <v>157</v>
      </c>
      <c r="E7" s="316">
        <v>1.3819663042902499</v>
      </c>
      <c r="F7" s="316">
        <v>-37.412415490000001</v>
      </c>
      <c r="G7" s="316">
        <v>6.1723178729999999</v>
      </c>
      <c r="H7" s="316">
        <v>3.9628356395288999E-2</v>
      </c>
      <c r="I7" s="317">
        <v>40</v>
      </c>
      <c r="J7" s="318">
        <v>-6.7215872937749402E-2</v>
      </c>
      <c r="K7" s="318">
        <v>1.1167138385159201</v>
      </c>
      <c r="L7" s="318">
        <v>-1.9981647687711602E-3</v>
      </c>
      <c r="M7" s="31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8" t="str">
        <f t="shared" si="3"/>
        <v>D23</v>
      </c>
      <c r="D8" s="224" t="s">
        <v>158</v>
      </c>
      <c r="E8" s="307">
        <v>2.387761791</v>
      </c>
      <c r="F8" s="307">
        <v>-34.721360509999997</v>
      </c>
      <c r="G8" s="307">
        <v>5.8164304019999999</v>
      </c>
      <c r="H8" s="307">
        <v>0.120819368</v>
      </c>
      <c r="I8" s="309">
        <v>40</v>
      </c>
      <c r="J8" s="310">
        <v>0</v>
      </c>
      <c r="K8" s="310">
        <v>0</v>
      </c>
      <c r="L8" s="310">
        <v>0</v>
      </c>
      <c r="M8" s="31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8" t="str">
        <f t="shared" si="3"/>
        <v>D24</v>
      </c>
      <c r="D9" s="224" t="s">
        <v>159</v>
      </c>
      <c r="E9" s="307">
        <v>2.5187775189999999</v>
      </c>
      <c r="F9" s="307">
        <v>-35.033375419999999</v>
      </c>
      <c r="G9" s="307">
        <v>6.224063396</v>
      </c>
      <c r="H9" s="307">
        <v>0.10107817199999999</v>
      </c>
      <c r="I9" s="309">
        <v>40</v>
      </c>
      <c r="J9" s="310">
        <v>0</v>
      </c>
      <c r="K9" s="310">
        <v>0</v>
      </c>
      <c r="L9" s="310">
        <v>0</v>
      </c>
      <c r="M9" s="31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8" t="str">
        <f t="shared" si="3"/>
        <v>D25</v>
      </c>
      <c r="D10" s="224" t="s">
        <v>160</v>
      </c>
      <c r="E10" s="307">
        <v>2.656440592</v>
      </c>
      <c r="F10" s="307">
        <v>-35.251692669999997</v>
      </c>
      <c r="G10" s="307">
        <v>6.5182658619999998</v>
      </c>
      <c r="H10" s="307">
        <v>8.1205866000000002E-2</v>
      </c>
      <c r="I10" s="309">
        <v>40</v>
      </c>
      <c r="J10" s="310">
        <v>0</v>
      </c>
      <c r="K10" s="310">
        <v>0</v>
      </c>
      <c r="L10" s="310">
        <v>0</v>
      </c>
      <c r="M10" s="31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8" t="str">
        <f t="shared" si="3"/>
        <v>2D3</v>
      </c>
      <c r="D11" s="224" t="s">
        <v>161</v>
      </c>
      <c r="E11" s="312">
        <v>1.2328654654123199</v>
      </c>
      <c r="F11" s="312">
        <v>-34.721360509999997</v>
      </c>
      <c r="G11" s="312">
        <v>5.8164304019999999</v>
      </c>
      <c r="H11" s="312">
        <v>8.7335193020600194E-2</v>
      </c>
      <c r="I11" s="313">
        <v>40</v>
      </c>
      <c r="J11" s="314">
        <v>-4.0928399400390697E-2</v>
      </c>
      <c r="K11" s="314">
        <v>0.76729203945074098</v>
      </c>
      <c r="L11" s="314">
        <v>-2.23202741619469E-3</v>
      </c>
      <c r="M11" s="31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8" t="str">
        <f t="shared" si="3"/>
        <v>2D4</v>
      </c>
      <c r="D12" s="224" t="s">
        <v>162</v>
      </c>
      <c r="E12" s="316">
        <v>1.0443537680583199</v>
      </c>
      <c r="F12" s="316">
        <v>-35.033375419999999</v>
      </c>
      <c r="G12" s="316">
        <v>6.224063396</v>
      </c>
      <c r="H12" s="316">
        <v>5.0291716040989698E-2</v>
      </c>
      <c r="I12" s="317">
        <v>40</v>
      </c>
      <c r="J12" s="318">
        <v>-5.3583022235768898E-2</v>
      </c>
      <c r="K12" s="318">
        <v>0.99959009039973401</v>
      </c>
      <c r="L12" s="318">
        <v>-2.17584483209612E-3</v>
      </c>
      <c r="M12" s="31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8" t="str">
        <f t="shared" si="3"/>
        <v>HK3</v>
      </c>
      <c r="D13" s="335" t="s">
        <v>653</v>
      </c>
      <c r="E13" s="307">
        <v>0.40409319999999999</v>
      </c>
      <c r="F13" s="307">
        <v>-24.439296800000001</v>
      </c>
      <c r="G13" s="307">
        <v>6.5718174999999999</v>
      </c>
      <c r="H13" s="307">
        <v>0.71077100000000004</v>
      </c>
      <c r="I13" s="309">
        <v>40</v>
      </c>
      <c r="J13" s="310">
        <v>0</v>
      </c>
      <c r="K13" s="310">
        <v>0</v>
      </c>
      <c r="L13" s="310">
        <v>0</v>
      </c>
      <c r="M13" s="31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8" t="str">
        <f t="shared" si="3"/>
        <v>MK1</v>
      </c>
      <c r="D14" s="224" t="s">
        <v>163</v>
      </c>
      <c r="E14" s="307">
        <v>1.8644533640000001</v>
      </c>
      <c r="F14" s="307">
        <v>-30.707163250000001</v>
      </c>
      <c r="G14" s="307">
        <v>6.4626937309999999</v>
      </c>
      <c r="H14" s="307">
        <v>0.104833866</v>
      </c>
      <c r="I14" s="309">
        <v>40</v>
      </c>
      <c r="J14" s="310">
        <v>0</v>
      </c>
      <c r="K14" s="310">
        <v>0</v>
      </c>
      <c r="L14" s="310">
        <v>0</v>
      </c>
      <c r="M14" s="31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8" t="str">
        <f t="shared" si="3"/>
        <v>MK2</v>
      </c>
      <c r="D15" s="224" t="s">
        <v>164</v>
      </c>
      <c r="E15" s="307">
        <v>2.2908183860000002</v>
      </c>
      <c r="F15" s="307">
        <v>-33.147686729999997</v>
      </c>
      <c r="G15" s="307">
        <v>6.3714765040000003</v>
      </c>
      <c r="H15" s="307">
        <v>8.1002321000000002E-2</v>
      </c>
      <c r="I15" s="309">
        <v>40</v>
      </c>
      <c r="J15" s="310">
        <v>0</v>
      </c>
      <c r="K15" s="310">
        <v>0</v>
      </c>
      <c r="L15" s="310">
        <v>0</v>
      </c>
      <c r="M15" s="31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8" t="str">
        <f t="shared" si="3"/>
        <v>MK3</v>
      </c>
      <c r="D16" s="224" t="s">
        <v>165</v>
      </c>
      <c r="E16" s="307">
        <v>2.7882423940000001</v>
      </c>
      <c r="F16" s="307">
        <v>-34.880613019999998</v>
      </c>
      <c r="G16" s="307">
        <v>6.5951899220000003</v>
      </c>
      <c r="H16" s="307">
        <v>5.4032911000000003E-2</v>
      </c>
      <c r="I16" s="309">
        <v>40</v>
      </c>
      <c r="J16" s="310">
        <v>0</v>
      </c>
      <c r="K16" s="310">
        <v>0</v>
      </c>
      <c r="L16" s="310">
        <v>0</v>
      </c>
      <c r="M16" s="31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8" t="str">
        <f t="shared" si="3"/>
        <v>MK4</v>
      </c>
      <c r="D17" s="224" t="s">
        <v>166</v>
      </c>
      <c r="E17" s="307">
        <v>3.117724811</v>
      </c>
      <c r="F17" s="307">
        <v>-35.871506220000001</v>
      </c>
      <c r="G17" s="307">
        <v>7.5186828869999998</v>
      </c>
      <c r="H17" s="307">
        <v>3.4330092999999999E-2</v>
      </c>
      <c r="I17" s="309">
        <v>40</v>
      </c>
      <c r="J17" s="310">
        <v>0</v>
      </c>
      <c r="K17" s="310">
        <v>0</v>
      </c>
      <c r="L17" s="310">
        <v>0</v>
      </c>
      <c r="M17" s="31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8" t="str">
        <f t="shared" si="3"/>
        <v>MK5</v>
      </c>
      <c r="D18" s="224" t="s">
        <v>167</v>
      </c>
      <c r="E18" s="307">
        <v>3.5862355250000002</v>
      </c>
      <c r="F18" s="307">
        <v>-37.080299349999997</v>
      </c>
      <c r="G18" s="307">
        <v>8.2420571759999994</v>
      </c>
      <c r="H18" s="307">
        <v>1.4600757000000001E-2</v>
      </c>
      <c r="I18" s="309">
        <v>40</v>
      </c>
      <c r="J18" s="310">
        <v>0</v>
      </c>
      <c r="K18" s="310">
        <v>0</v>
      </c>
      <c r="L18" s="310">
        <v>0</v>
      </c>
      <c r="M18" s="31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8" t="str">
        <f t="shared" si="3"/>
        <v>KM3</v>
      </c>
      <c r="D19" s="224" t="s">
        <v>168</v>
      </c>
      <c r="E19" s="312">
        <v>1.42024191542431</v>
      </c>
      <c r="F19" s="312">
        <v>-34.880613019999998</v>
      </c>
      <c r="G19" s="312">
        <v>6.5951899220000003</v>
      </c>
      <c r="H19" s="312">
        <v>3.8531702714088997E-2</v>
      </c>
      <c r="I19" s="313">
        <v>40</v>
      </c>
      <c r="J19" s="314">
        <v>-5.2108424079363599E-2</v>
      </c>
      <c r="K19" s="314">
        <v>0.86479187369647303</v>
      </c>
      <c r="L19" s="314">
        <v>-1.43692105046127E-3</v>
      </c>
      <c r="M19" s="31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8" t="str">
        <f t="shared" si="3"/>
        <v>KM4</v>
      </c>
      <c r="D20" s="224" t="s">
        <v>169</v>
      </c>
      <c r="E20" s="316">
        <v>1.3284912834142599</v>
      </c>
      <c r="F20" s="316">
        <v>-35.871506220000001</v>
      </c>
      <c r="G20" s="316">
        <v>7.5186828869999998</v>
      </c>
      <c r="H20" s="316">
        <v>1.7554042928377402E-2</v>
      </c>
      <c r="I20" s="317">
        <v>40</v>
      </c>
      <c r="J20" s="318">
        <v>-7.5898278738419894E-2</v>
      </c>
      <c r="K20" s="318">
        <v>1.1942554985979099</v>
      </c>
      <c r="L20" s="318">
        <v>-8.9798095264275E-4</v>
      </c>
      <c r="M20" s="31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8" t="str">
        <f t="shared" si="3"/>
        <v>HA1</v>
      </c>
      <c r="D21" s="224" t="s">
        <v>170</v>
      </c>
      <c r="E21" s="307">
        <v>2.3742827709999998</v>
      </c>
      <c r="F21" s="307">
        <v>-34.759550140000002</v>
      </c>
      <c r="G21" s="307">
        <v>5.9987036829999996</v>
      </c>
      <c r="H21" s="307">
        <v>0.149441144</v>
      </c>
      <c r="I21" s="309">
        <v>40</v>
      </c>
      <c r="J21" s="310">
        <v>0</v>
      </c>
      <c r="K21" s="310">
        <v>0</v>
      </c>
      <c r="L21" s="310">
        <v>0</v>
      </c>
      <c r="M21" s="31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8" t="str">
        <f t="shared" si="3"/>
        <v>HA2</v>
      </c>
      <c r="D22" s="224" t="s">
        <v>171</v>
      </c>
      <c r="E22" s="307">
        <v>2.8544748530000001</v>
      </c>
      <c r="F22" s="307">
        <v>-35.629423080000002</v>
      </c>
      <c r="G22" s="307">
        <v>7.0058264430000001</v>
      </c>
      <c r="H22" s="307">
        <v>0.11647722100000001</v>
      </c>
      <c r="I22" s="309">
        <v>40</v>
      </c>
      <c r="J22" s="310">
        <v>0</v>
      </c>
      <c r="K22" s="310">
        <v>0</v>
      </c>
      <c r="L22" s="310">
        <v>0</v>
      </c>
      <c r="M22" s="31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8" t="str">
        <f t="shared" si="3"/>
        <v>HA3</v>
      </c>
      <c r="D23" s="224" t="s">
        <v>172</v>
      </c>
      <c r="E23" s="307">
        <v>3.58112137</v>
      </c>
      <c r="F23" s="307">
        <v>-36.965006520000003</v>
      </c>
      <c r="G23" s="307">
        <v>7.2256946710000003</v>
      </c>
      <c r="H23" s="307">
        <v>4.4841566999999999E-2</v>
      </c>
      <c r="I23" s="309">
        <v>40</v>
      </c>
      <c r="J23" s="310">
        <v>0</v>
      </c>
      <c r="K23" s="310">
        <v>0</v>
      </c>
      <c r="L23" s="310">
        <v>0</v>
      </c>
      <c r="M23" s="31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8" t="str">
        <f t="shared" si="3"/>
        <v>HA4</v>
      </c>
      <c r="D24" s="224" t="s">
        <v>173</v>
      </c>
      <c r="E24" s="307">
        <v>4.0196902039999998</v>
      </c>
      <c r="F24" s="307">
        <v>-37.82820366</v>
      </c>
      <c r="G24" s="307">
        <v>8.1593368759999994</v>
      </c>
      <c r="H24" s="307">
        <v>4.7284495000000003E-2</v>
      </c>
      <c r="I24" s="309">
        <v>40</v>
      </c>
      <c r="J24" s="310">
        <v>0</v>
      </c>
      <c r="K24" s="310">
        <v>0</v>
      </c>
      <c r="L24" s="310">
        <v>0</v>
      </c>
      <c r="M24" s="31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8" t="str">
        <f t="shared" si="3"/>
        <v>HA5</v>
      </c>
      <c r="D25" s="224" t="s">
        <v>174</v>
      </c>
      <c r="E25" s="307">
        <v>4.8252375660000002</v>
      </c>
      <c r="F25" s="307">
        <v>-39.280256399999999</v>
      </c>
      <c r="G25" s="307">
        <v>8.6240216889999992</v>
      </c>
      <c r="H25" s="307">
        <v>9.9944630000000003E-3</v>
      </c>
      <c r="I25" s="309">
        <v>40</v>
      </c>
      <c r="J25" s="310">
        <v>0</v>
      </c>
      <c r="K25" s="310">
        <v>0</v>
      </c>
      <c r="L25" s="310">
        <v>0</v>
      </c>
      <c r="M25" s="31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8" t="str">
        <f t="shared" si="3"/>
        <v>AH3</v>
      </c>
      <c r="D26" s="224" t="s">
        <v>175</v>
      </c>
      <c r="E26" s="312">
        <v>1.9724775375047101</v>
      </c>
      <c r="F26" s="312">
        <v>-36.965006520000003</v>
      </c>
      <c r="G26" s="312">
        <v>7.2256946710000003</v>
      </c>
      <c r="H26" s="312">
        <v>3.45781570412447E-2</v>
      </c>
      <c r="I26" s="313">
        <v>40</v>
      </c>
      <c r="J26" s="314">
        <v>-7.42174022298938E-2</v>
      </c>
      <c r="K26" s="314">
        <v>1.04488686764057</v>
      </c>
      <c r="L26" s="314">
        <v>-8.2954472023944598E-4</v>
      </c>
      <c r="M26" s="31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8" t="str">
        <f t="shared" si="3"/>
        <v>AH4</v>
      </c>
      <c r="D27" s="224" t="s">
        <v>176</v>
      </c>
      <c r="E27" s="316">
        <v>1.8398455179509201</v>
      </c>
      <c r="F27" s="316">
        <v>-37.82820366</v>
      </c>
      <c r="G27" s="316">
        <v>8.1593368759999994</v>
      </c>
      <c r="H27" s="316">
        <v>2.5971006255482799E-2</v>
      </c>
      <c r="I27" s="317">
        <v>40</v>
      </c>
      <c r="J27" s="318">
        <v>-0.10692617459680499</v>
      </c>
      <c r="K27" s="318">
        <v>1.45522403984838</v>
      </c>
      <c r="L27" s="318">
        <v>-4.9197263527907199E-4</v>
      </c>
      <c r="M27" s="31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8" t="str">
        <f t="shared" si="3"/>
        <v>KO1</v>
      </c>
      <c r="D28" s="224" t="s">
        <v>177</v>
      </c>
      <c r="E28" s="307">
        <v>1.415957087</v>
      </c>
      <c r="F28" s="307">
        <v>-30.842519159999998</v>
      </c>
      <c r="G28" s="307">
        <v>6.3467557010000002</v>
      </c>
      <c r="H28" s="307">
        <v>0.32117906499999999</v>
      </c>
      <c r="I28" s="309">
        <v>40</v>
      </c>
      <c r="J28" s="310">
        <v>0</v>
      </c>
      <c r="K28" s="310">
        <v>0</v>
      </c>
      <c r="L28" s="310">
        <v>0</v>
      </c>
      <c r="M28" s="31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8" t="str">
        <f t="shared" si="3"/>
        <v>KO2</v>
      </c>
      <c r="D29" s="224" t="s">
        <v>178</v>
      </c>
      <c r="E29" s="307">
        <v>2.0660500700000002</v>
      </c>
      <c r="F29" s="307">
        <v>-33.601652029999997</v>
      </c>
      <c r="G29" s="307">
        <v>6.675360994</v>
      </c>
      <c r="H29" s="307">
        <v>0.23091246800000001</v>
      </c>
      <c r="I29" s="309">
        <v>40</v>
      </c>
      <c r="J29" s="310">
        <v>0</v>
      </c>
      <c r="K29" s="310">
        <v>0</v>
      </c>
      <c r="L29" s="310">
        <v>0</v>
      </c>
      <c r="M29" s="31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8" t="str">
        <f t="shared" si="3"/>
        <v>KO3</v>
      </c>
      <c r="D30" s="224" t="s">
        <v>179</v>
      </c>
      <c r="E30" s="307">
        <v>2.7172288440000001</v>
      </c>
      <c r="F30" s="307">
        <v>-35.141256310000003</v>
      </c>
      <c r="G30" s="307">
        <v>7.1303395089999997</v>
      </c>
      <c r="H30" s="307">
        <v>0.14184716999999999</v>
      </c>
      <c r="I30" s="309">
        <v>40</v>
      </c>
      <c r="J30" s="310">
        <v>0</v>
      </c>
      <c r="K30" s="310">
        <v>0</v>
      </c>
      <c r="L30" s="310">
        <v>0</v>
      </c>
      <c r="M30" s="31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8" t="str">
        <f t="shared" si="3"/>
        <v>KO4</v>
      </c>
      <c r="D31" s="224" t="s">
        <v>180</v>
      </c>
      <c r="E31" s="307">
        <v>3.4428942870000001</v>
      </c>
      <c r="F31" s="307">
        <v>-36.659050409999999</v>
      </c>
      <c r="G31" s="307">
        <v>7.6083226159999997</v>
      </c>
      <c r="H31" s="307">
        <v>7.4685009999999996E-2</v>
      </c>
      <c r="I31" s="309">
        <v>40</v>
      </c>
      <c r="J31" s="310">
        <v>0</v>
      </c>
      <c r="K31" s="310">
        <v>0</v>
      </c>
      <c r="L31" s="310">
        <v>0</v>
      </c>
      <c r="M31" s="31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8" t="str">
        <f t="shared" si="3"/>
        <v>KO5</v>
      </c>
      <c r="D32" s="224" t="s">
        <v>181</v>
      </c>
      <c r="E32" s="307">
        <v>4.3624833000000001</v>
      </c>
      <c r="F32" s="307">
        <v>-38.663402159999997</v>
      </c>
      <c r="G32" s="307">
        <v>7.5974644280000003</v>
      </c>
      <c r="H32" s="307">
        <v>8.3264180000000004E-3</v>
      </c>
      <c r="I32" s="309">
        <v>40</v>
      </c>
      <c r="J32" s="310">
        <v>0</v>
      </c>
      <c r="K32" s="310">
        <v>0</v>
      </c>
      <c r="L32" s="310">
        <v>0</v>
      </c>
      <c r="M32" s="31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8" t="str">
        <f t="shared" si="3"/>
        <v>OK3</v>
      </c>
      <c r="D33" s="224" t="s">
        <v>182</v>
      </c>
      <c r="E33" s="312">
        <v>1.3554515228930799</v>
      </c>
      <c r="F33" s="312">
        <v>-35.141256310000003</v>
      </c>
      <c r="G33" s="312">
        <v>7.1303395089999997</v>
      </c>
      <c r="H33" s="312">
        <v>9.9061861582536506E-2</v>
      </c>
      <c r="I33" s="313">
        <v>40</v>
      </c>
      <c r="J33" s="314">
        <v>-5.2648691429529201E-2</v>
      </c>
      <c r="K33" s="314">
        <v>0.86260857514223399</v>
      </c>
      <c r="L33" s="314">
        <v>-8.8083895602660196E-4</v>
      </c>
      <c r="M33" s="31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8" t="str">
        <f t="shared" si="3"/>
        <v>OK4</v>
      </c>
      <c r="D34" s="224" t="s">
        <v>183</v>
      </c>
      <c r="E34" s="316">
        <v>1.4256683872017999</v>
      </c>
      <c r="F34" s="316">
        <v>-36.659050409999999</v>
      </c>
      <c r="G34" s="316">
        <v>7.6083226159999997</v>
      </c>
      <c r="H34" s="316">
        <v>3.7111586547478703E-2</v>
      </c>
      <c r="I34" s="317">
        <v>40</v>
      </c>
      <c r="J34" s="318">
        <v>-8.0935893022415106E-2</v>
      </c>
      <c r="K34" s="318">
        <v>1.2364527018259801</v>
      </c>
      <c r="L34" s="318">
        <v>-7.6279966642852303E-4</v>
      </c>
      <c r="M34" s="31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8" t="str">
        <f t="shared" si="3"/>
        <v>BD1</v>
      </c>
      <c r="D35" s="224" t="s">
        <v>184</v>
      </c>
      <c r="E35" s="307">
        <v>1.2903504589999999</v>
      </c>
      <c r="F35" s="307">
        <v>-35.234986829999997</v>
      </c>
      <c r="G35" s="307">
        <v>2.1064246880000002</v>
      </c>
      <c r="H35" s="307">
        <v>0.45572533300000001</v>
      </c>
      <c r="I35" s="309">
        <v>40</v>
      </c>
      <c r="J35" s="310">
        <v>0</v>
      </c>
      <c r="K35" s="310">
        <v>0</v>
      </c>
      <c r="L35" s="310">
        <v>0</v>
      </c>
      <c r="M35" s="31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8" t="str">
        <f t="shared" si="3"/>
        <v>BD2</v>
      </c>
      <c r="D36" s="224" t="s">
        <v>185</v>
      </c>
      <c r="E36" s="307">
        <v>2.1095878429999999</v>
      </c>
      <c r="F36" s="307">
        <v>-35.84445084</v>
      </c>
      <c r="G36" s="307">
        <v>5.2154672279999996</v>
      </c>
      <c r="H36" s="307">
        <v>0.28545825400000002</v>
      </c>
      <c r="I36" s="309">
        <v>40</v>
      </c>
      <c r="J36" s="310">
        <v>0</v>
      </c>
      <c r="K36" s="310">
        <v>0</v>
      </c>
      <c r="L36" s="310">
        <v>0</v>
      </c>
      <c r="M36" s="31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8" t="str">
        <f t="shared" si="3"/>
        <v>BD3</v>
      </c>
      <c r="D37" s="224" t="s">
        <v>186</v>
      </c>
      <c r="E37" s="307">
        <v>2.917702722</v>
      </c>
      <c r="F37" s="307">
        <v>-36.179411649999999</v>
      </c>
      <c r="G37" s="307">
        <v>5.9265161649999998</v>
      </c>
      <c r="H37" s="307">
        <v>0.11519117600000001</v>
      </c>
      <c r="I37" s="309">
        <v>40</v>
      </c>
      <c r="J37" s="310">
        <v>0</v>
      </c>
      <c r="K37" s="310">
        <v>0</v>
      </c>
      <c r="L37" s="310">
        <v>0</v>
      </c>
      <c r="M37" s="31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8" t="str">
        <f t="shared" si="3"/>
        <v>BD4</v>
      </c>
      <c r="D38" s="224" t="s">
        <v>187</v>
      </c>
      <c r="E38" s="307">
        <v>3.75</v>
      </c>
      <c r="F38" s="307">
        <v>-37.5</v>
      </c>
      <c r="G38" s="307">
        <v>6.8</v>
      </c>
      <c r="H38" s="307">
        <v>6.0911264999999999E-2</v>
      </c>
      <c r="I38" s="309">
        <v>40</v>
      </c>
      <c r="J38" s="310">
        <v>0</v>
      </c>
      <c r="K38" s="310">
        <v>0</v>
      </c>
      <c r="L38" s="310">
        <v>0</v>
      </c>
      <c r="M38" s="31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8" t="str">
        <f t="shared" si="3"/>
        <v>BD5</v>
      </c>
      <c r="D39" s="224" t="s">
        <v>188</v>
      </c>
      <c r="E39" s="307">
        <v>4.5699505650000001</v>
      </c>
      <c r="F39" s="307">
        <v>-38.535339239999999</v>
      </c>
      <c r="G39" s="307">
        <v>7.5976990989999997</v>
      </c>
      <c r="H39" s="307">
        <v>6.6313539999999999E-3</v>
      </c>
      <c r="I39" s="309">
        <v>40</v>
      </c>
      <c r="J39" s="310">
        <v>0</v>
      </c>
      <c r="K39" s="310">
        <v>0</v>
      </c>
      <c r="L39" s="310">
        <v>0</v>
      </c>
      <c r="M39" s="31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8" t="str">
        <f t="shared" si="3"/>
        <v>DB3</v>
      </c>
      <c r="D40" s="224" t="s">
        <v>189</v>
      </c>
      <c r="E40" s="312">
        <v>1.4633681573374999</v>
      </c>
      <c r="F40" s="312">
        <v>-36.179411649999999</v>
      </c>
      <c r="G40" s="312">
        <v>5.9265161649999998</v>
      </c>
      <c r="H40" s="312">
        <v>8.08834761578303E-2</v>
      </c>
      <c r="I40" s="313">
        <v>40</v>
      </c>
      <c r="J40" s="314">
        <v>-4.7579990370695997E-2</v>
      </c>
      <c r="K40" s="314">
        <v>0.82307541850402</v>
      </c>
      <c r="L40" s="314">
        <v>-1.92725690584626E-3</v>
      </c>
      <c r="M40" s="31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8" t="str">
        <f t="shared" si="3"/>
        <v>DB4</v>
      </c>
      <c r="D41" s="224" t="s">
        <v>190</v>
      </c>
      <c r="E41" s="316">
        <v>1.5175791604409099</v>
      </c>
      <c r="F41" s="316">
        <v>-37.5</v>
      </c>
      <c r="G41" s="316">
        <v>6.8</v>
      </c>
      <c r="H41" s="316">
        <v>2.9580053248030098E-2</v>
      </c>
      <c r="I41" s="317">
        <v>40</v>
      </c>
      <c r="J41" s="318">
        <v>-7.8855918399573705E-2</v>
      </c>
      <c r="K41" s="318">
        <v>1.21612498767079</v>
      </c>
      <c r="L41" s="318">
        <v>-1.31336800852578E-3</v>
      </c>
      <c r="M41" s="31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8" t="str">
        <f t="shared" si="3"/>
        <v>GA1</v>
      </c>
      <c r="D42" s="224" t="s">
        <v>191</v>
      </c>
      <c r="E42" s="307">
        <v>1.177034538</v>
      </c>
      <c r="F42" s="307">
        <v>-39.159991400000003</v>
      </c>
      <c r="G42" s="307">
        <v>4.2076109639999997</v>
      </c>
      <c r="H42" s="307">
        <v>0.66047393200000004</v>
      </c>
      <c r="I42" s="309">
        <v>40</v>
      </c>
      <c r="J42" s="310">
        <v>0</v>
      </c>
      <c r="K42" s="310">
        <v>0</v>
      </c>
      <c r="L42" s="310">
        <v>0</v>
      </c>
      <c r="M42" s="31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8" t="str">
        <f t="shared" si="3"/>
        <v>GA2</v>
      </c>
      <c r="D43" s="224" t="s">
        <v>192</v>
      </c>
      <c r="E43" s="307">
        <v>1.648762294</v>
      </c>
      <c r="F43" s="307">
        <v>-36.399273569999998</v>
      </c>
      <c r="G43" s="307">
        <v>6.2149172090000002</v>
      </c>
      <c r="H43" s="307">
        <v>0.48776373299999998</v>
      </c>
      <c r="I43" s="309">
        <v>40</v>
      </c>
      <c r="J43" s="310">
        <v>0</v>
      </c>
      <c r="K43" s="310">
        <v>0</v>
      </c>
      <c r="L43" s="310">
        <v>0</v>
      </c>
      <c r="M43" s="31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8" t="str">
        <f t="shared" si="3"/>
        <v>GA3</v>
      </c>
      <c r="D44" s="224" t="s">
        <v>193</v>
      </c>
      <c r="E44" s="307">
        <v>2.2850164739999999</v>
      </c>
      <c r="F44" s="307">
        <v>-36.287858389999997</v>
      </c>
      <c r="G44" s="307">
        <v>6.5885126390000002</v>
      </c>
      <c r="H44" s="307">
        <v>0.31505353400000002</v>
      </c>
      <c r="I44" s="309">
        <v>40</v>
      </c>
      <c r="J44" s="310">
        <v>0</v>
      </c>
      <c r="K44" s="310">
        <v>0</v>
      </c>
      <c r="L44" s="310">
        <v>0</v>
      </c>
      <c r="M44" s="31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8" t="str">
        <f t="shared" si="3"/>
        <v>GA4</v>
      </c>
      <c r="D45" s="224" t="s">
        <v>194</v>
      </c>
      <c r="E45" s="307">
        <v>2.8195656150000001</v>
      </c>
      <c r="F45" s="307">
        <v>-36</v>
      </c>
      <c r="G45" s="307">
        <v>7.7368517680000002</v>
      </c>
      <c r="H45" s="307">
        <v>0.15728097999999999</v>
      </c>
      <c r="I45" s="309">
        <v>40</v>
      </c>
      <c r="J45" s="310">
        <v>0</v>
      </c>
      <c r="K45" s="310">
        <v>0</v>
      </c>
      <c r="L45" s="310">
        <v>0</v>
      </c>
      <c r="M45" s="31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8" t="str">
        <f t="shared" si="3"/>
        <v>GA5</v>
      </c>
      <c r="D46" s="224" t="s">
        <v>195</v>
      </c>
      <c r="E46" s="307">
        <v>3.3295574819999998</v>
      </c>
      <c r="F46" s="307">
        <v>-36.014621120000001</v>
      </c>
      <c r="G46" s="307">
        <v>8.7767464709999992</v>
      </c>
      <c r="H46" s="307">
        <v>0</v>
      </c>
      <c r="I46" s="309">
        <v>40</v>
      </c>
      <c r="J46" s="310">
        <v>0</v>
      </c>
      <c r="K46" s="310">
        <v>0</v>
      </c>
      <c r="L46" s="310">
        <v>0</v>
      </c>
      <c r="M46" s="31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8" t="str">
        <f t="shared" si="3"/>
        <v>AG3</v>
      </c>
      <c r="D47" s="224" t="s">
        <v>196</v>
      </c>
      <c r="E47" s="312">
        <v>1.15820816823062</v>
      </c>
      <c r="F47" s="312">
        <v>-36.287858389999997</v>
      </c>
      <c r="G47" s="312">
        <v>6.5885126390000002</v>
      </c>
      <c r="H47" s="312">
        <v>0.223568019279065</v>
      </c>
      <c r="I47" s="313">
        <v>40</v>
      </c>
      <c r="J47" s="314">
        <v>-4.1033478424869901E-2</v>
      </c>
      <c r="K47" s="314">
        <v>0.75264513854265702</v>
      </c>
      <c r="L47" s="314">
        <v>-9.0876855297962304E-4</v>
      </c>
      <c r="M47" s="31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8" t="str">
        <f t="shared" si="3"/>
        <v>AG4</v>
      </c>
      <c r="D48" s="224" t="s">
        <v>197</v>
      </c>
      <c r="E48" s="316">
        <v>1.18483197659357</v>
      </c>
      <c r="F48" s="316">
        <v>-36</v>
      </c>
      <c r="G48" s="316">
        <v>7.7368517680000002</v>
      </c>
      <c r="H48" s="316">
        <v>7.9310742089883396E-2</v>
      </c>
      <c r="I48" s="317">
        <v>40</v>
      </c>
      <c r="J48" s="318">
        <v>-6.8738315813288001E-2</v>
      </c>
      <c r="K48" s="318">
        <v>1.1308570050851501</v>
      </c>
      <c r="L48" s="318">
        <v>-6.58695704968982E-4</v>
      </c>
      <c r="M48" s="31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8" t="str">
        <f t="shared" si="3"/>
        <v>BH1</v>
      </c>
      <c r="D49" s="224" t="s">
        <v>198</v>
      </c>
      <c r="E49" s="307">
        <v>1.4771785690000001</v>
      </c>
      <c r="F49" s="307">
        <v>-35.083444710000002</v>
      </c>
      <c r="G49" s="307">
        <v>5.412342465</v>
      </c>
      <c r="H49" s="307">
        <v>0.47442640800000002</v>
      </c>
      <c r="I49" s="309">
        <v>40</v>
      </c>
      <c r="J49" s="310">
        <v>0</v>
      </c>
      <c r="K49" s="310">
        <v>0</v>
      </c>
      <c r="L49" s="310">
        <v>0</v>
      </c>
      <c r="M49" s="31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8" t="str">
        <f t="shared" si="3"/>
        <v>BH2</v>
      </c>
      <c r="D50" s="224" t="s">
        <v>199</v>
      </c>
      <c r="E50" s="307">
        <v>1.70052794</v>
      </c>
      <c r="F50" s="307">
        <v>-35.15</v>
      </c>
      <c r="G50" s="307">
        <v>6.1632738509999996</v>
      </c>
      <c r="H50" s="307">
        <v>0.42982608500000002</v>
      </c>
      <c r="I50" s="309">
        <v>40</v>
      </c>
      <c r="J50" s="310">
        <v>0</v>
      </c>
      <c r="K50" s="310">
        <v>0</v>
      </c>
      <c r="L50" s="310">
        <v>0</v>
      </c>
      <c r="M50" s="31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8" t="str">
        <f t="shared" si="3"/>
        <v>BH3</v>
      </c>
      <c r="D51" s="224" t="s">
        <v>200</v>
      </c>
      <c r="E51" s="307">
        <v>2.0102471730000002</v>
      </c>
      <c r="F51" s="307">
        <v>-35.253212349999998</v>
      </c>
      <c r="G51" s="307">
        <v>6.1544406409999999</v>
      </c>
      <c r="H51" s="307">
        <v>0.32947409700000002</v>
      </c>
      <c r="I51" s="309">
        <v>40</v>
      </c>
      <c r="J51" s="310">
        <v>0</v>
      </c>
      <c r="K51" s="310">
        <v>0</v>
      </c>
      <c r="L51" s="310">
        <v>0</v>
      </c>
      <c r="M51" s="31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8" t="str">
        <f t="shared" si="3"/>
        <v>BH4</v>
      </c>
      <c r="D52" s="224" t="s">
        <v>201</v>
      </c>
      <c r="E52" s="307">
        <v>2.4595180609999998</v>
      </c>
      <c r="F52" s="307">
        <v>-35.253212349999998</v>
      </c>
      <c r="G52" s="307">
        <v>6.0587000719999997</v>
      </c>
      <c r="H52" s="307">
        <v>0.164737049</v>
      </c>
      <c r="I52" s="309">
        <v>40</v>
      </c>
      <c r="J52" s="310">
        <v>0</v>
      </c>
      <c r="K52" s="310">
        <v>0</v>
      </c>
      <c r="L52" s="310">
        <v>0</v>
      </c>
      <c r="M52" s="31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8" t="str">
        <f t="shared" si="3"/>
        <v>BH5</v>
      </c>
      <c r="D53" s="224" t="s">
        <v>202</v>
      </c>
      <c r="E53" s="307">
        <v>2.98</v>
      </c>
      <c r="F53" s="307">
        <v>-35.799999999999997</v>
      </c>
      <c r="G53" s="307">
        <v>5.6340580620000003</v>
      </c>
      <c r="H53" s="307">
        <v>0</v>
      </c>
      <c r="I53" s="309">
        <v>40</v>
      </c>
      <c r="J53" s="310">
        <v>0</v>
      </c>
      <c r="K53" s="310">
        <v>0</v>
      </c>
      <c r="L53" s="310">
        <v>0</v>
      </c>
      <c r="M53" s="31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8" t="str">
        <f t="shared" si="3"/>
        <v>HB3</v>
      </c>
      <c r="D54" s="224" t="s">
        <v>203</v>
      </c>
      <c r="E54" s="312">
        <v>0.98742830199278697</v>
      </c>
      <c r="F54" s="312">
        <v>-35.253212349999998</v>
      </c>
      <c r="G54" s="312">
        <v>6.1544406409999999</v>
      </c>
      <c r="H54" s="312">
        <v>0.226571574644788</v>
      </c>
      <c r="I54" s="313">
        <v>40</v>
      </c>
      <c r="J54" s="314">
        <v>-3.3901972877937302E-2</v>
      </c>
      <c r="K54" s="314">
        <v>0.69382336958448299</v>
      </c>
      <c r="L54" s="314">
        <v>-1.2849007801732501E-3</v>
      </c>
      <c r="M54" s="31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8" t="str">
        <f t="shared" si="3"/>
        <v>HB4</v>
      </c>
      <c r="D55" s="224" t="s">
        <v>204</v>
      </c>
      <c r="E55" s="316">
        <v>0.987258471486126</v>
      </c>
      <c r="F55" s="316">
        <v>-35.253212349999998</v>
      </c>
      <c r="G55" s="316">
        <v>6.0587000719999997</v>
      </c>
      <c r="H55" s="316">
        <v>7.9351178479290699E-2</v>
      </c>
      <c r="I55" s="317">
        <v>40</v>
      </c>
      <c r="J55" s="318">
        <v>-4.95013227495672E-2</v>
      </c>
      <c r="K55" s="318">
        <v>0.96379986125322403</v>
      </c>
      <c r="L55" s="318">
        <v>-2.2303785271091201E-3</v>
      </c>
      <c r="M55" s="31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8" t="str">
        <f t="shared" si="3"/>
        <v>WA1</v>
      </c>
      <c r="D56" s="224" t="s">
        <v>205</v>
      </c>
      <c r="E56" s="307">
        <v>0.4</v>
      </c>
      <c r="F56" s="307">
        <v>-40.514948179999998</v>
      </c>
      <c r="G56" s="307">
        <v>2.874795695</v>
      </c>
      <c r="H56" s="307">
        <v>0.93510758400000005</v>
      </c>
      <c r="I56" s="309">
        <v>40</v>
      </c>
      <c r="J56" s="310">
        <v>0</v>
      </c>
      <c r="K56" s="310">
        <v>0</v>
      </c>
      <c r="L56" s="310">
        <v>0</v>
      </c>
      <c r="M56" s="31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8" t="str">
        <f t="shared" si="3"/>
        <v>WA2</v>
      </c>
      <c r="D57" s="224" t="s">
        <v>206</v>
      </c>
      <c r="E57" s="307">
        <v>0.61662289299999995</v>
      </c>
      <c r="F57" s="307">
        <v>-38.4</v>
      </c>
      <c r="G57" s="307">
        <v>3.8705351889999999</v>
      </c>
      <c r="H57" s="307">
        <v>0.87002503099999995</v>
      </c>
      <c r="I57" s="309">
        <v>40</v>
      </c>
      <c r="J57" s="310">
        <v>0</v>
      </c>
      <c r="K57" s="310">
        <v>0</v>
      </c>
      <c r="L57" s="310">
        <v>0</v>
      </c>
      <c r="M57" s="31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8" t="str">
        <f t="shared" si="3"/>
        <v>WA3</v>
      </c>
      <c r="D58" s="224" t="s">
        <v>207</v>
      </c>
      <c r="E58" s="307">
        <v>0.76572901199999999</v>
      </c>
      <c r="F58" s="307">
        <v>-36.023791150000001</v>
      </c>
      <c r="G58" s="307">
        <v>4.8662746830000003</v>
      </c>
      <c r="H58" s="307">
        <v>0.80494247799999996</v>
      </c>
      <c r="I58" s="309">
        <v>40</v>
      </c>
      <c r="J58" s="310">
        <v>0</v>
      </c>
      <c r="K58" s="310">
        <v>0</v>
      </c>
      <c r="L58" s="310">
        <v>0</v>
      </c>
      <c r="M58" s="31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8" t="str">
        <f t="shared" si="3"/>
        <v>WA4</v>
      </c>
      <c r="D59" s="224" t="s">
        <v>208</v>
      </c>
      <c r="E59" s="307">
        <v>1.053587472</v>
      </c>
      <c r="F59" s="307">
        <v>-35.299999999999997</v>
      </c>
      <c r="G59" s="307">
        <v>4.8662746830000003</v>
      </c>
      <c r="H59" s="307">
        <v>0.68110423399999998</v>
      </c>
      <c r="I59" s="309">
        <v>40</v>
      </c>
      <c r="J59" s="310">
        <v>0</v>
      </c>
      <c r="K59" s="310">
        <v>0</v>
      </c>
      <c r="L59" s="310">
        <v>0</v>
      </c>
      <c r="M59" s="31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8" t="str">
        <f t="shared" si="3"/>
        <v>WA5</v>
      </c>
      <c r="D60" s="224" t="s">
        <v>209</v>
      </c>
      <c r="E60" s="307">
        <v>1.276885373</v>
      </c>
      <c r="F60" s="307">
        <v>-34.342437070000003</v>
      </c>
      <c r="G60" s="307">
        <v>5.4518822419999999</v>
      </c>
      <c r="H60" s="307">
        <v>0.55726598999999999</v>
      </c>
      <c r="I60" s="309">
        <v>40</v>
      </c>
      <c r="J60" s="310">
        <v>0</v>
      </c>
      <c r="K60" s="310">
        <v>0</v>
      </c>
      <c r="L60" s="310">
        <v>0</v>
      </c>
      <c r="M60" s="31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8" t="str">
        <f t="shared" si="3"/>
        <v>AW3</v>
      </c>
      <c r="D61" s="224" t="s">
        <v>210</v>
      </c>
      <c r="E61" s="312">
        <v>0.33378383212380802</v>
      </c>
      <c r="F61" s="312">
        <v>-36.023791150000001</v>
      </c>
      <c r="G61" s="312">
        <v>4.8662746830000003</v>
      </c>
      <c r="H61" s="312">
        <v>0.49122795797177399</v>
      </c>
      <c r="I61" s="313">
        <v>40</v>
      </c>
      <c r="J61" s="314">
        <v>-9.2263492839078001E-3</v>
      </c>
      <c r="K61" s="314">
        <v>0.45957571089624999</v>
      </c>
      <c r="L61" s="314">
        <v>-9.6764244989513298E-4</v>
      </c>
      <c r="M61" s="31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8" t="str">
        <f t="shared" si="3"/>
        <v>AW4</v>
      </c>
      <c r="D62" s="224" t="s">
        <v>211</v>
      </c>
      <c r="E62" s="316">
        <v>0.39253387380634902</v>
      </c>
      <c r="F62" s="316">
        <v>-35.299999999999997</v>
      </c>
      <c r="G62" s="316">
        <v>4.8662746830000003</v>
      </c>
      <c r="H62" s="316">
        <v>0.30450986619695802</v>
      </c>
      <c r="I62" s="317">
        <v>40</v>
      </c>
      <c r="J62" s="318">
        <v>-1.67993072626435E-2</v>
      </c>
      <c r="K62" s="318">
        <v>0.67108889173422104</v>
      </c>
      <c r="L62" s="318">
        <v>-2.0300823594516502E-3</v>
      </c>
      <c r="M62" s="31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8" t="str">
        <f t="shared" si="3"/>
        <v>GB1</v>
      </c>
      <c r="D63" s="224" t="s">
        <v>212</v>
      </c>
      <c r="E63" s="307">
        <v>3.176194476</v>
      </c>
      <c r="F63" s="307">
        <v>-40.836660860000002</v>
      </c>
      <c r="G63" s="307">
        <v>3.6785891739999999</v>
      </c>
      <c r="H63" s="307">
        <v>0.15021557599999999</v>
      </c>
      <c r="I63" s="309">
        <v>40</v>
      </c>
      <c r="J63" s="310">
        <v>0</v>
      </c>
      <c r="K63" s="310">
        <v>0</v>
      </c>
      <c r="L63" s="310">
        <v>0</v>
      </c>
      <c r="M63" s="31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8" t="str">
        <f t="shared" si="3"/>
        <v>GB2</v>
      </c>
      <c r="D64" s="224" t="s">
        <v>213</v>
      </c>
      <c r="E64" s="307">
        <v>3.3904645059999998</v>
      </c>
      <c r="F64" s="307">
        <v>-39.287521640000001</v>
      </c>
      <c r="G64" s="307">
        <v>4.4905740459999999</v>
      </c>
      <c r="H64" s="307">
        <v>8.3478316999999996E-2</v>
      </c>
      <c r="I64" s="309">
        <v>40</v>
      </c>
      <c r="J64" s="310">
        <v>0</v>
      </c>
      <c r="K64" s="310">
        <v>0</v>
      </c>
      <c r="L64" s="310">
        <v>0</v>
      </c>
      <c r="M64" s="31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8" t="str">
        <f t="shared" si="3"/>
        <v>GB3</v>
      </c>
      <c r="D65" s="224" t="s">
        <v>214</v>
      </c>
      <c r="E65" s="307">
        <v>3.2572742130000001</v>
      </c>
      <c r="F65" s="307">
        <v>-37.5</v>
      </c>
      <c r="G65" s="307">
        <v>6.3462147949999999</v>
      </c>
      <c r="H65" s="307">
        <v>8.6622649999999995E-2</v>
      </c>
      <c r="I65" s="309">
        <v>40</v>
      </c>
      <c r="J65" s="310">
        <v>0</v>
      </c>
      <c r="K65" s="310">
        <v>0</v>
      </c>
      <c r="L65" s="310">
        <v>0</v>
      </c>
      <c r="M65" s="31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8" t="str">
        <f t="shared" si="3"/>
        <v>GB4</v>
      </c>
      <c r="D66" s="224" t="s">
        <v>215</v>
      </c>
      <c r="E66" s="307">
        <v>3.601773562</v>
      </c>
      <c r="F66" s="307">
        <v>-37.88253684</v>
      </c>
      <c r="G66" s="307">
        <v>6.9836070289999999</v>
      </c>
      <c r="H66" s="307">
        <v>5.4826185999999999E-2</v>
      </c>
      <c r="I66" s="309">
        <v>40</v>
      </c>
      <c r="J66" s="310">
        <v>0</v>
      </c>
      <c r="K66" s="310">
        <v>0</v>
      </c>
      <c r="L66" s="310">
        <v>0</v>
      </c>
      <c r="M66" s="31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8" t="str">
        <f t="shared" si="3"/>
        <v>GB5</v>
      </c>
      <c r="D67" s="224" t="s">
        <v>216</v>
      </c>
      <c r="E67" s="307">
        <v>3.9320532479999999</v>
      </c>
      <c r="F67" s="307">
        <v>-38.143324819999997</v>
      </c>
      <c r="G67" s="307">
        <v>7.6185870979999999</v>
      </c>
      <c r="H67" s="307">
        <v>2.3029722999999998E-2</v>
      </c>
      <c r="I67" s="309">
        <v>40</v>
      </c>
      <c r="J67" s="310">
        <v>0</v>
      </c>
      <c r="K67" s="310">
        <v>0</v>
      </c>
      <c r="L67" s="310">
        <v>0</v>
      </c>
      <c r="M67" s="31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8" t="str">
        <f t="shared" ref="C68:C92" si="6">IF(A68="SLP-TUM",LEFT(D68,3),"")&amp;IF(A68="SLP-FfE",MID(D65,2,1)&amp;MID(D65,1,1)&amp;MID(D65,3,1),"")</f>
        <v>BG3</v>
      </c>
      <c r="D68" s="224" t="s">
        <v>217</v>
      </c>
      <c r="E68" s="320">
        <v>1.82137779524266</v>
      </c>
      <c r="F68" s="320">
        <v>-37.5</v>
      </c>
      <c r="G68" s="320">
        <v>6.3462147949999999</v>
      </c>
      <c r="H68" s="320">
        <v>6.7811791498411197E-2</v>
      </c>
      <c r="I68" s="321">
        <v>40</v>
      </c>
      <c r="J68" s="322">
        <v>-6.0766568968526301E-2</v>
      </c>
      <c r="K68" s="322">
        <v>0.93081585658295796</v>
      </c>
      <c r="L68" s="322">
        <v>-1.3966888276177401E-3</v>
      </c>
      <c r="M68" s="32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8" t="str">
        <f t="shared" si="6"/>
        <v>BG4</v>
      </c>
      <c r="D69" s="224" t="s">
        <v>218</v>
      </c>
      <c r="E69" s="316">
        <v>1.62668116109167</v>
      </c>
      <c r="F69" s="316">
        <v>-37.88253684</v>
      </c>
      <c r="G69" s="316">
        <v>6.9836070289999999</v>
      </c>
      <c r="H69" s="316">
        <v>2.9713602712276601E-2</v>
      </c>
      <c r="I69" s="317">
        <v>40</v>
      </c>
      <c r="J69" s="318">
        <v>-8.5433289200744306E-2</v>
      </c>
      <c r="K69" s="318">
        <v>1.2709629183122999</v>
      </c>
      <c r="L69" s="318">
        <v>-1.1319192336313501E-3</v>
      </c>
      <c r="M69" s="31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8" t="str">
        <f t="shared" si="6"/>
        <v>BA1</v>
      </c>
      <c r="D70" s="224" t="s">
        <v>219</v>
      </c>
      <c r="E70" s="307">
        <v>0.15</v>
      </c>
      <c r="F70" s="307">
        <v>-36</v>
      </c>
      <c r="G70" s="307">
        <v>2</v>
      </c>
      <c r="H70" s="307">
        <v>1</v>
      </c>
      <c r="I70" s="309">
        <v>40</v>
      </c>
      <c r="J70" s="310">
        <v>0</v>
      </c>
      <c r="K70" s="310">
        <v>0</v>
      </c>
      <c r="L70" s="310">
        <v>0</v>
      </c>
      <c r="M70" s="31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8" t="str">
        <f t="shared" si="6"/>
        <v>BA2</v>
      </c>
      <c r="D71" s="224" t="s">
        <v>220</v>
      </c>
      <c r="E71" s="307">
        <v>0.38791910400000001</v>
      </c>
      <c r="F71" s="307">
        <v>-35.5</v>
      </c>
      <c r="G71" s="307">
        <v>4</v>
      </c>
      <c r="H71" s="307">
        <v>0.90548154300000006</v>
      </c>
      <c r="I71" s="309">
        <v>40</v>
      </c>
      <c r="J71" s="310">
        <v>0</v>
      </c>
      <c r="K71" s="310">
        <v>0</v>
      </c>
      <c r="L71" s="310">
        <v>0</v>
      </c>
      <c r="M71" s="31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8" t="str">
        <f t="shared" si="6"/>
        <v>BA3</v>
      </c>
      <c r="D72" s="224" t="s">
        <v>221</v>
      </c>
      <c r="E72" s="307">
        <v>0.62619621599999997</v>
      </c>
      <c r="F72" s="307">
        <v>-33</v>
      </c>
      <c r="G72" s="307">
        <v>5.7212302499999996</v>
      </c>
      <c r="H72" s="307">
        <v>0.78556546000000005</v>
      </c>
      <c r="I72" s="309">
        <v>40</v>
      </c>
      <c r="J72" s="310">
        <v>0</v>
      </c>
      <c r="K72" s="310">
        <v>0</v>
      </c>
      <c r="L72" s="310">
        <v>0</v>
      </c>
      <c r="M72" s="31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8" t="str">
        <f t="shared" si="6"/>
        <v>BA4</v>
      </c>
      <c r="D73" s="224" t="s">
        <v>222</v>
      </c>
      <c r="E73" s="307">
        <v>0.93158890100000002</v>
      </c>
      <c r="F73" s="307">
        <v>-33.35</v>
      </c>
      <c r="G73" s="307">
        <v>5.7212302499999996</v>
      </c>
      <c r="H73" s="307">
        <v>0.66564937700000004</v>
      </c>
      <c r="I73" s="309">
        <v>40</v>
      </c>
      <c r="J73" s="310">
        <v>0</v>
      </c>
      <c r="K73" s="310">
        <v>0</v>
      </c>
      <c r="L73" s="310">
        <v>0</v>
      </c>
      <c r="M73" s="31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8" t="str">
        <f t="shared" si="6"/>
        <v>BA5</v>
      </c>
      <c r="D74" s="224" t="s">
        <v>223</v>
      </c>
      <c r="E74" s="307">
        <v>1.2779567300000001</v>
      </c>
      <c r="F74" s="307">
        <v>-34.517392000000001</v>
      </c>
      <c r="G74" s="307">
        <v>5.7212302499999996</v>
      </c>
      <c r="H74" s="307">
        <v>0.54573329400000004</v>
      </c>
      <c r="I74" s="309">
        <v>40</v>
      </c>
      <c r="J74" s="310">
        <v>0</v>
      </c>
      <c r="K74" s="310">
        <v>0</v>
      </c>
      <c r="L74" s="310">
        <v>0</v>
      </c>
      <c r="M74" s="31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8" t="str">
        <f t="shared" si="6"/>
        <v>AB3</v>
      </c>
      <c r="D75" s="224" t="s">
        <v>224</v>
      </c>
      <c r="E75" s="320">
        <v>0.27700871173110803</v>
      </c>
      <c r="F75" s="320">
        <v>-33</v>
      </c>
      <c r="G75" s="320">
        <v>5.7212302499999996</v>
      </c>
      <c r="H75" s="320">
        <v>0.4865118291885</v>
      </c>
      <c r="I75" s="321">
        <v>40</v>
      </c>
      <c r="J75" s="322">
        <v>-9.4849130944012709E-3</v>
      </c>
      <c r="K75" s="322">
        <v>0.46302369368771501</v>
      </c>
      <c r="L75" s="322">
        <v>-7.1341860056578195E-4</v>
      </c>
      <c r="M75" s="32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8" t="str">
        <f t="shared" si="6"/>
        <v>AB4</v>
      </c>
      <c r="D76" s="224" t="s">
        <v>225</v>
      </c>
      <c r="E76" s="316">
        <v>0.35376401507794197</v>
      </c>
      <c r="F76" s="316">
        <v>-33.35</v>
      </c>
      <c r="G76" s="316">
        <v>5.7212302499999996</v>
      </c>
      <c r="H76" s="316">
        <v>0.30333053043746</v>
      </c>
      <c r="I76" s="317">
        <v>40</v>
      </c>
      <c r="J76" s="318">
        <v>-1.7746347868875599E-2</v>
      </c>
      <c r="K76" s="318">
        <v>0.68256991216863605</v>
      </c>
      <c r="L76" s="318">
        <v>-1.3911792841456701E-3</v>
      </c>
      <c r="M76" s="31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8" t="str">
        <f t="shared" si="6"/>
        <v>PD1</v>
      </c>
      <c r="D77" s="224" t="s">
        <v>226</v>
      </c>
      <c r="E77" s="307">
        <v>1.489402246</v>
      </c>
      <c r="F77" s="307">
        <v>-32.425267750000003</v>
      </c>
      <c r="G77" s="307">
        <v>8.1732612079999996</v>
      </c>
      <c r="H77" s="307">
        <v>0.390598736</v>
      </c>
      <c r="I77" s="309">
        <v>40</v>
      </c>
      <c r="J77" s="310">
        <v>0</v>
      </c>
      <c r="K77" s="310">
        <v>0</v>
      </c>
      <c r="L77" s="310">
        <v>0</v>
      </c>
      <c r="M77" s="31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8" t="str">
        <f t="shared" si="6"/>
        <v>PD2</v>
      </c>
      <c r="D78" s="224" t="s">
        <v>227</v>
      </c>
      <c r="E78" s="307">
        <v>2.5784172540000001</v>
      </c>
      <c r="F78" s="307">
        <v>-34.732126100000002</v>
      </c>
      <c r="G78" s="307">
        <v>6.4805035139999996</v>
      </c>
      <c r="H78" s="307">
        <v>0.140772912</v>
      </c>
      <c r="I78" s="309">
        <v>40</v>
      </c>
      <c r="J78" s="310">
        <v>0</v>
      </c>
      <c r="K78" s="310">
        <v>0</v>
      </c>
      <c r="L78" s="310">
        <v>0</v>
      </c>
      <c r="M78" s="31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8" t="str">
        <f t="shared" si="6"/>
        <v>PD3</v>
      </c>
      <c r="D79" s="224" t="s">
        <v>228</v>
      </c>
      <c r="E79" s="307">
        <v>3.2</v>
      </c>
      <c r="F79" s="307">
        <v>-35.799999999999997</v>
      </c>
      <c r="G79" s="307">
        <v>8.4</v>
      </c>
      <c r="H79" s="307">
        <v>9.3848608E-2</v>
      </c>
      <c r="I79" s="309">
        <v>40</v>
      </c>
      <c r="J79" s="310">
        <v>0</v>
      </c>
      <c r="K79" s="310">
        <v>0</v>
      </c>
      <c r="L79" s="310">
        <v>0</v>
      </c>
      <c r="M79" s="31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8" t="str">
        <f t="shared" si="6"/>
        <v>PD4</v>
      </c>
      <c r="D80" s="224" t="s">
        <v>229</v>
      </c>
      <c r="E80" s="307">
        <v>3.85</v>
      </c>
      <c r="F80" s="307">
        <v>-37</v>
      </c>
      <c r="G80" s="307">
        <v>10.2405021</v>
      </c>
      <c r="H80" s="307">
        <v>4.6924304E-2</v>
      </c>
      <c r="I80" s="309">
        <v>40</v>
      </c>
      <c r="J80" s="310">
        <v>0</v>
      </c>
      <c r="K80" s="310">
        <v>0</v>
      </c>
      <c r="L80" s="310">
        <v>0</v>
      </c>
      <c r="M80" s="31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8" t="str">
        <f t="shared" si="6"/>
        <v>PD5</v>
      </c>
      <c r="D81" s="224" t="s">
        <v>230</v>
      </c>
      <c r="E81" s="307">
        <v>4.7462813920000002</v>
      </c>
      <c r="F81" s="307">
        <v>-38.750429390000001</v>
      </c>
      <c r="G81" s="307">
        <v>10.27533341</v>
      </c>
      <c r="H81" s="307">
        <v>0</v>
      </c>
      <c r="I81" s="309">
        <v>40</v>
      </c>
      <c r="J81" s="310">
        <v>0</v>
      </c>
      <c r="K81" s="310">
        <v>0</v>
      </c>
      <c r="L81" s="310">
        <v>0</v>
      </c>
      <c r="M81" s="31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8" t="str">
        <f t="shared" si="6"/>
        <v>DP3</v>
      </c>
      <c r="D82" s="224" t="s">
        <v>231</v>
      </c>
      <c r="E82" s="320">
        <v>1.7110739256233101</v>
      </c>
      <c r="F82" s="320">
        <v>-35.799999999999997</v>
      </c>
      <c r="G82" s="320">
        <v>8.4</v>
      </c>
      <c r="H82" s="320">
        <v>7.0254583920868696E-2</v>
      </c>
      <c r="I82" s="321">
        <v>40</v>
      </c>
      <c r="J82" s="322">
        <v>-7.4538113411129703E-2</v>
      </c>
      <c r="K82" s="322">
        <v>1.04630053886108</v>
      </c>
      <c r="L82" s="322">
        <v>-3.6720793281783798E-4</v>
      </c>
      <c r="M82" s="32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8" t="str">
        <f t="shared" si="6"/>
        <v>DP4</v>
      </c>
      <c r="D83" s="224" t="s">
        <v>232</v>
      </c>
      <c r="E83" s="316">
        <v>1.88346094379506</v>
      </c>
      <c r="F83" s="316">
        <v>-37</v>
      </c>
      <c r="G83" s="316">
        <v>10.2405021</v>
      </c>
      <c r="H83" s="316">
        <v>2.7547042254160901E-2</v>
      </c>
      <c r="I83" s="317">
        <v>40</v>
      </c>
      <c r="J83" s="318">
        <v>-0.12530997479160699</v>
      </c>
      <c r="K83" s="318">
        <v>1.62759988176077</v>
      </c>
      <c r="L83" s="318">
        <v>-1.10508201486912E-4</v>
      </c>
      <c r="M83" s="31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8" t="str">
        <f t="shared" si="6"/>
        <v>MF1</v>
      </c>
      <c r="D84" s="224" t="s">
        <v>233</v>
      </c>
      <c r="E84" s="307">
        <v>2.1163530869999998</v>
      </c>
      <c r="F84" s="307">
        <v>-34.262862310000003</v>
      </c>
      <c r="G84" s="307">
        <v>5.1763874239999996</v>
      </c>
      <c r="H84" s="307">
        <v>0.160694541</v>
      </c>
      <c r="I84" s="309">
        <v>40</v>
      </c>
      <c r="J84" s="310">
        <v>0</v>
      </c>
      <c r="K84" s="310">
        <v>0</v>
      </c>
      <c r="L84" s="310">
        <v>0</v>
      </c>
      <c r="M84" s="31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8" t="str">
        <f t="shared" si="6"/>
        <v>MF2</v>
      </c>
      <c r="D85" s="224" t="s">
        <v>234</v>
      </c>
      <c r="E85" s="307">
        <v>2.248633329</v>
      </c>
      <c r="F85" s="307">
        <v>-34.542843070000004</v>
      </c>
      <c r="G85" s="307">
        <v>5.5545244839999999</v>
      </c>
      <c r="H85" s="307">
        <v>0.14082196299999999</v>
      </c>
      <c r="I85" s="309">
        <v>40</v>
      </c>
      <c r="J85" s="310">
        <v>0</v>
      </c>
      <c r="K85" s="310">
        <v>0</v>
      </c>
      <c r="L85" s="310">
        <v>0</v>
      </c>
      <c r="M85" s="31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8" t="str">
        <f t="shared" si="6"/>
        <v>MF3</v>
      </c>
      <c r="D86" s="224" t="s">
        <v>235</v>
      </c>
      <c r="E86" s="307">
        <v>2.387761791</v>
      </c>
      <c r="F86" s="307">
        <v>-34.721360509999997</v>
      </c>
      <c r="G86" s="307">
        <v>5.8164304019999999</v>
      </c>
      <c r="H86" s="307">
        <v>0.120819368</v>
      </c>
      <c r="I86" s="309">
        <v>40</v>
      </c>
      <c r="J86" s="310">
        <v>0</v>
      </c>
      <c r="K86" s="310">
        <v>0</v>
      </c>
      <c r="L86" s="310">
        <v>0</v>
      </c>
      <c r="M86" s="31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8" t="str">
        <f t="shared" si="6"/>
        <v>MF4</v>
      </c>
      <c r="D87" s="224" t="s">
        <v>236</v>
      </c>
      <c r="E87" s="307">
        <v>2.5187775189999999</v>
      </c>
      <c r="F87" s="307">
        <v>-35.033375419999999</v>
      </c>
      <c r="G87" s="307">
        <v>6.224063396</v>
      </c>
      <c r="H87" s="307">
        <v>0.10107817199999999</v>
      </c>
      <c r="I87" s="309">
        <v>40</v>
      </c>
      <c r="J87" s="310">
        <v>0</v>
      </c>
      <c r="K87" s="310">
        <v>0</v>
      </c>
      <c r="L87" s="310">
        <v>0</v>
      </c>
      <c r="M87" s="31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8" t="str">
        <f t="shared" si="6"/>
        <v>MF5</v>
      </c>
      <c r="D88" s="224" t="s">
        <v>237</v>
      </c>
      <c r="E88" s="307">
        <v>2.656440592</v>
      </c>
      <c r="F88" s="307">
        <v>-35.251692669999997</v>
      </c>
      <c r="G88" s="307">
        <v>6.5182658619999998</v>
      </c>
      <c r="H88" s="307">
        <v>8.1205866000000002E-2</v>
      </c>
      <c r="I88" s="309">
        <v>40</v>
      </c>
      <c r="J88" s="310">
        <v>0</v>
      </c>
      <c r="K88" s="310">
        <v>0</v>
      </c>
      <c r="L88" s="310">
        <v>0</v>
      </c>
      <c r="M88" s="31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8" t="str">
        <f t="shared" si="6"/>
        <v>FM3</v>
      </c>
      <c r="D89" s="224" t="s">
        <v>238</v>
      </c>
      <c r="E89" s="320">
        <v>1.2328654654123199</v>
      </c>
      <c r="F89" s="320">
        <v>-34.721360509999997</v>
      </c>
      <c r="G89" s="320">
        <v>5.8164304019999999</v>
      </c>
      <c r="H89" s="320">
        <v>8.7335193020600194E-2</v>
      </c>
      <c r="I89" s="321">
        <v>40</v>
      </c>
      <c r="J89" s="322">
        <v>-4.0928399400390697E-2</v>
      </c>
      <c r="K89" s="322">
        <v>0.76729203945074098</v>
      </c>
      <c r="L89" s="322">
        <v>-2.23202741619469E-3</v>
      </c>
      <c r="M89" s="32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8" t="str">
        <f t="shared" si="6"/>
        <v>FM4</v>
      </c>
      <c r="D90" s="224" t="s">
        <v>239</v>
      </c>
      <c r="E90" s="316">
        <v>1.0443537680583199</v>
      </c>
      <c r="F90" s="316">
        <v>-35.033375419999999</v>
      </c>
      <c r="G90" s="316">
        <v>6.224063396</v>
      </c>
      <c r="H90" s="316">
        <v>5.0291716040989698E-2</v>
      </c>
      <c r="I90" s="317">
        <v>40</v>
      </c>
      <c r="J90" s="318">
        <v>-5.3583022235768898E-2</v>
      </c>
      <c r="K90" s="318">
        <v>0.99959009039973401</v>
      </c>
      <c r="L90" s="318">
        <v>-2.17584483209612E-3</v>
      </c>
      <c r="M90" s="31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8" t="str">
        <f t="shared" si="6"/>
        <v>HD3</v>
      </c>
      <c r="D91" s="224" t="s">
        <v>240</v>
      </c>
      <c r="E91" s="307">
        <v>2.579251014</v>
      </c>
      <c r="F91" s="307">
        <v>-35.681614400000001</v>
      </c>
      <c r="G91" s="307">
        <v>6.685797612</v>
      </c>
      <c r="H91" s="307">
        <v>0.19955409900000001</v>
      </c>
      <c r="I91" s="309">
        <v>40</v>
      </c>
      <c r="J91" s="310">
        <v>0</v>
      </c>
      <c r="K91" s="310">
        <v>0</v>
      </c>
      <c r="L91" s="310">
        <v>0</v>
      </c>
      <c r="M91" s="31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8" t="str">
        <f t="shared" si="6"/>
        <v>HD4</v>
      </c>
      <c r="D92" s="224" t="s">
        <v>241</v>
      </c>
      <c r="E92" s="307">
        <v>3.0084345560000001</v>
      </c>
      <c r="F92" s="307">
        <v>-36.607845269999999</v>
      </c>
      <c r="G92" s="307">
        <v>7.3211869529999998</v>
      </c>
      <c r="H92" s="307">
        <v>0.154966031</v>
      </c>
      <c r="I92" s="309">
        <v>40</v>
      </c>
      <c r="J92" s="310">
        <v>0</v>
      </c>
      <c r="K92" s="310">
        <v>0</v>
      </c>
      <c r="L92" s="310">
        <v>0</v>
      </c>
      <c r="M92" s="31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8" t="str">
        <f>IF(A93="SLP-TUM",LEFT(D93,3),"")&amp;IF(A93="SLP-FfE",MID(D91,2,1)&amp;MID(D91,1,1)&amp;MID(D91,3,1),"")</f>
        <v>DH3</v>
      </c>
      <c r="D93" s="224" t="s">
        <v>242</v>
      </c>
      <c r="E93" s="320">
        <v>1.3010623280670599</v>
      </c>
      <c r="F93" s="320">
        <v>-35.681614400000001</v>
      </c>
      <c r="G93" s="320">
        <v>6.685797612</v>
      </c>
      <c r="H93" s="320">
        <v>0.14092666704225201</v>
      </c>
      <c r="I93" s="321">
        <v>40</v>
      </c>
      <c r="J93" s="322">
        <v>-4.7342808824630003E-2</v>
      </c>
      <c r="K93" s="322">
        <v>0.81416912533326502</v>
      </c>
      <c r="L93" s="322">
        <v>-1.0600643623825999E-3</v>
      </c>
      <c r="M93" s="323">
        <v>0.132509207320192</v>
      </c>
    </row>
    <row r="94" spans="1:13" ht="15" thickBot="1">
      <c r="A94" s="229" t="str">
        <f t="shared" si="7"/>
        <v>SLP-FfE</v>
      </c>
      <c r="B94" s="229" t="str">
        <f>"DE_"&amp;IF(A94="SLP-TUM",MID(D94,5,4)&amp;RIGHT(D94,1),"")&amp;IF(A94="SLP-FfE",MID(D92,5,3)&amp;"3"&amp;RIGHT(D92,1),"")</f>
        <v>DE_GHD34</v>
      </c>
      <c r="C94" s="230" t="str">
        <f>IF(A94="SLP-TUM",LEFT(D94,3),"")&amp;IF(A94="SLP-FfE",MID(D92,2,1)&amp;MID(D92,1,1)&amp;MID(D92,3,1),"")</f>
        <v>DH4</v>
      </c>
      <c r="D94" s="231" t="s">
        <v>243</v>
      </c>
      <c r="E94" s="324">
        <v>1.2569600366115099</v>
      </c>
      <c r="F94" s="324">
        <v>-36.607845269999999</v>
      </c>
      <c r="G94" s="324">
        <v>7.3211869529999998</v>
      </c>
      <c r="H94" s="324">
        <v>7.7695999446950006E-2</v>
      </c>
      <c r="I94" s="325">
        <v>40</v>
      </c>
      <c r="J94" s="326">
        <v>-6.9682598068340706E-2</v>
      </c>
      <c r="K94" s="326">
        <v>1.13797018307135</v>
      </c>
      <c r="L94" s="326">
        <v>-8.5220021901797499E-4</v>
      </c>
      <c r="M94" s="327">
        <v>0.19210675752294901</v>
      </c>
    </row>
    <row r="95" spans="1:13">
      <c r="A95" s="128" t="s">
        <v>245</v>
      </c>
      <c r="B95" s="128" t="s">
        <v>50</v>
      </c>
      <c r="C95" s="128" t="s">
        <v>317</v>
      </c>
      <c r="D95" s="232" t="s">
        <v>272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5">
        <v>40</v>
      </c>
      <c r="J95" s="226">
        <v>0</v>
      </c>
      <c r="K95" s="226">
        <v>0</v>
      </c>
      <c r="L95" s="226">
        <v>0</v>
      </c>
      <c r="M95" s="227">
        <v>0</v>
      </c>
    </row>
    <row r="96" spans="1:13">
      <c r="A96" s="128" t="s">
        <v>245</v>
      </c>
      <c r="B96" s="128" t="s">
        <v>55</v>
      </c>
      <c r="C96" s="128" t="s">
        <v>322</v>
      </c>
      <c r="D96" s="232" t="s">
        <v>272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5">
        <v>40</v>
      </c>
      <c r="J96" s="226">
        <v>0</v>
      </c>
      <c r="K96" s="226">
        <v>0</v>
      </c>
      <c r="L96" s="226">
        <v>0</v>
      </c>
      <c r="M96" s="227">
        <v>0</v>
      </c>
    </row>
    <row r="97" spans="1:13">
      <c r="A97" s="128" t="s">
        <v>245</v>
      </c>
      <c r="B97" s="128" t="s">
        <v>60</v>
      </c>
      <c r="C97" s="128" t="s">
        <v>327</v>
      </c>
      <c r="D97" s="232" t="s">
        <v>272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5">
        <v>40</v>
      </c>
      <c r="J97" s="226">
        <v>0</v>
      </c>
      <c r="K97" s="226">
        <v>0</v>
      </c>
      <c r="L97" s="226">
        <v>0</v>
      </c>
      <c r="M97" s="227">
        <v>0</v>
      </c>
    </row>
    <row r="98" spans="1:13">
      <c r="A98" s="128" t="s">
        <v>245</v>
      </c>
      <c r="B98" s="128" t="s">
        <v>65</v>
      </c>
      <c r="C98" s="128" t="s">
        <v>332</v>
      </c>
      <c r="D98" s="232" t="s">
        <v>272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5">
        <v>40</v>
      </c>
      <c r="J98" s="226">
        <v>0</v>
      </c>
      <c r="K98" s="226">
        <v>0</v>
      </c>
      <c r="L98" s="226">
        <v>0</v>
      </c>
      <c r="M98" s="227">
        <v>0</v>
      </c>
    </row>
    <row r="99" spans="1:13">
      <c r="A99" s="128" t="s">
        <v>245</v>
      </c>
      <c r="B99" s="128" t="s">
        <v>18</v>
      </c>
      <c r="C99" s="128" t="s">
        <v>285</v>
      </c>
      <c r="D99" s="232" t="s">
        <v>272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5">
        <v>40</v>
      </c>
      <c r="J99" s="226">
        <v>0</v>
      </c>
      <c r="K99" s="226">
        <v>0</v>
      </c>
      <c r="L99" s="226">
        <v>0</v>
      </c>
      <c r="M99" s="227">
        <v>0</v>
      </c>
    </row>
    <row r="100" spans="1:13">
      <c r="A100" s="128" t="s">
        <v>245</v>
      </c>
      <c r="B100" s="128" t="s">
        <v>22</v>
      </c>
      <c r="C100" s="128" t="s">
        <v>289</v>
      </c>
      <c r="D100" s="232" t="s">
        <v>272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5">
        <v>40</v>
      </c>
      <c r="J100" s="226">
        <v>0</v>
      </c>
      <c r="K100" s="226">
        <v>0</v>
      </c>
      <c r="L100" s="226">
        <v>0</v>
      </c>
      <c r="M100" s="227">
        <v>0</v>
      </c>
    </row>
    <row r="101" spans="1:13">
      <c r="A101" s="128" t="s">
        <v>245</v>
      </c>
      <c r="B101" s="128" t="s">
        <v>26</v>
      </c>
      <c r="C101" s="128" t="s">
        <v>293</v>
      </c>
      <c r="D101" s="232" t="s">
        <v>272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5">
        <v>40</v>
      </c>
      <c r="J101" s="226">
        <v>0</v>
      </c>
      <c r="K101" s="226">
        <v>0</v>
      </c>
      <c r="L101" s="226">
        <v>0</v>
      </c>
      <c r="M101" s="227">
        <v>0</v>
      </c>
    </row>
    <row r="102" spans="1:13">
      <c r="A102" s="128" t="s">
        <v>245</v>
      </c>
      <c r="B102" s="128" t="s">
        <v>30</v>
      </c>
      <c r="C102" s="128" t="s">
        <v>297</v>
      </c>
      <c r="D102" s="232" t="s">
        <v>272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5">
        <v>40</v>
      </c>
      <c r="J102" s="226">
        <v>0</v>
      </c>
      <c r="K102" s="226">
        <v>0</v>
      </c>
      <c r="L102" s="226">
        <v>0</v>
      </c>
      <c r="M102" s="227">
        <v>0</v>
      </c>
    </row>
    <row r="103" spans="1:13">
      <c r="A103" s="128" t="s">
        <v>245</v>
      </c>
      <c r="B103" s="128" t="s">
        <v>34</v>
      </c>
      <c r="C103" s="128" t="s">
        <v>301</v>
      </c>
      <c r="D103" s="232" t="s">
        <v>272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5">
        <v>40</v>
      </c>
      <c r="J103" s="226">
        <v>0</v>
      </c>
      <c r="K103" s="226">
        <v>0</v>
      </c>
      <c r="L103" s="226">
        <v>0</v>
      </c>
      <c r="M103" s="227">
        <v>0</v>
      </c>
    </row>
    <row r="104" spans="1:13">
      <c r="A104" s="128" t="s">
        <v>245</v>
      </c>
      <c r="B104" s="128" t="s">
        <v>38</v>
      </c>
      <c r="C104" s="128" t="s">
        <v>305</v>
      </c>
      <c r="D104" s="232" t="s">
        <v>272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5">
        <v>40</v>
      </c>
      <c r="J104" s="226">
        <v>0</v>
      </c>
      <c r="K104" s="226">
        <v>0</v>
      </c>
      <c r="L104" s="226">
        <v>0</v>
      </c>
      <c r="M104" s="227">
        <v>0</v>
      </c>
    </row>
    <row r="105" spans="1:13">
      <c r="A105" s="128" t="s">
        <v>245</v>
      </c>
      <c r="B105" s="128" t="s">
        <v>42</v>
      </c>
      <c r="C105" s="128" t="s">
        <v>309</v>
      </c>
      <c r="D105" s="232" t="s">
        <v>272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5">
        <v>40</v>
      </c>
      <c r="J105" s="226">
        <v>0</v>
      </c>
      <c r="K105" s="226">
        <v>0</v>
      </c>
      <c r="L105" s="226">
        <v>0</v>
      </c>
      <c r="M105" s="227">
        <v>0</v>
      </c>
    </row>
    <row r="106" spans="1:13">
      <c r="A106" s="128" t="s">
        <v>245</v>
      </c>
      <c r="B106" s="128" t="s">
        <v>46</v>
      </c>
      <c r="C106" s="128" t="s">
        <v>313</v>
      </c>
      <c r="D106" s="232" t="s">
        <v>272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5">
        <v>40</v>
      </c>
      <c r="J106" s="226">
        <v>0</v>
      </c>
      <c r="K106" s="226">
        <v>0</v>
      </c>
      <c r="L106" s="226">
        <v>0</v>
      </c>
      <c r="M106" s="227">
        <v>0</v>
      </c>
    </row>
    <row r="107" spans="1:13">
      <c r="A107" s="128" t="s">
        <v>245</v>
      </c>
      <c r="B107" s="128" t="s">
        <v>51</v>
      </c>
      <c r="C107" s="128" t="s">
        <v>318</v>
      </c>
      <c r="D107" s="232" t="s">
        <v>272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5">
        <v>40</v>
      </c>
      <c r="J107" s="226">
        <v>0</v>
      </c>
      <c r="K107" s="226">
        <v>0</v>
      </c>
      <c r="L107" s="226">
        <v>0</v>
      </c>
      <c r="M107" s="227">
        <v>0</v>
      </c>
    </row>
    <row r="108" spans="1:13">
      <c r="A108" s="128" t="s">
        <v>245</v>
      </c>
      <c r="B108" s="128" t="s">
        <v>56</v>
      </c>
      <c r="C108" s="128" t="s">
        <v>323</v>
      </c>
      <c r="D108" s="232" t="s">
        <v>272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5">
        <v>40</v>
      </c>
      <c r="J108" s="226">
        <v>0</v>
      </c>
      <c r="K108" s="226">
        <v>0</v>
      </c>
      <c r="L108" s="226">
        <v>0</v>
      </c>
      <c r="M108" s="227">
        <v>0</v>
      </c>
    </row>
    <row r="109" spans="1:13">
      <c r="A109" s="128" t="s">
        <v>245</v>
      </c>
      <c r="B109" s="128" t="s">
        <v>61</v>
      </c>
      <c r="C109" s="128" t="s">
        <v>328</v>
      </c>
      <c r="D109" s="232" t="s">
        <v>272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5">
        <v>40</v>
      </c>
      <c r="J109" s="226">
        <v>0</v>
      </c>
      <c r="K109" s="226">
        <v>0</v>
      </c>
      <c r="L109" s="226">
        <v>0</v>
      </c>
      <c r="M109" s="227">
        <v>0</v>
      </c>
    </row>
    <row r="110" spans="1:13">
      <c r="A110" s="128" t="s">
        <v>245</v>
      </c>
      <c r="B110" s="128" t="s">
        <v>66</v>
      </c>
      <c r="C110" s="128" t="s">
        <v>333</v>
      </c>
      <c r="D110" s="232" t="s">
        <v>272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5">
        <v>40</v>
      </c>
      <c r="J110" s="226">
        <v>0</v>
      </c>
      <c r="K110" s="226">
        <v>0</v>
      </c>
      <c r="L110" s="226">
        <v>0</v>
      </c>
      <c r="M110" s="227">
        <v>0</v>
      </c>
    </row>
    <row r="111" spans="1:13">
      <c r="A111" s="128" t="s">
        <v>245</v>
      </c>
      <c r="B111" s="128" t="s">
        <v>6</v>
      </c>
      <c r="C111" s="128" t="s">
        <v>273</v>
      </c>
      <c r="D111" s="232" t="s">
        <v>272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5">
        <v>40</v>
      </c>
      <c r="J111" s="226">
        <v>0</v>
      </c>
      <c r="K111" s="226">
        <v>0</v>
      </c>
      <c r="L111" s="226">
        <v>0</v>
      </c>
      <c r="M111" s="227">
        <v>0</v>
      </c>
    </row>
    <row r="112" spans="1:13">
      <c r="A112" s="128" t="s">
        <v>245</v>
      </c>
      <c r="B112" s="128" t="s">
        <v>7</v>
      </c>
      <c r="C112" s="128" t="s">
        <v>274</v>
      </c>
      <c r="D112" s="232" t="s">
        <v>272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5">
        <v>40</v>
      </c>
      <c r="J112" s="226">
        <v>0</v>
      </c>
      <c r="K112" s="226">
        <v>0</v>
      </c>
      <c r="L112" s="226">
        <v>0</v>
      </c>
      <c r="M112" s="227">
        <v>0</v>
      </c>
    </row>
    <row r="113" spans="1:13">
      <c r="A113" s="128" t="s">
        <v>245</v>
      </c>
      <c r="B113" s="128" t="s">
        <v>8</v>
      </c>
      <c r="C113" s="128" t="s">
        <v>275</v>
      </c>
      <c r="D113" s="232" t="s">
        <v>272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5">
        <v>40</v>
      </c>
      <c r="J113" s="226">
        <v>0</v>
      </c>
      <c r="K113" s="226">
        <v>0</v>
      </c>
      <c r="L113" s="226">
        <v>0</v>
      </c>
      <c r="M113" s="227">
        <v>0</v>
      </c>
    </row>
    <row r="114" spans="1:13">
      <c r="A114" s="128" t="s">
        <v>245</v>
      </c>
      <c r="B114" s="128" t="s">
        <v>9</v>
      </c>
      <c r="C114" s="128" t="s">
        <v>276</v>
      </c>
      <c r="D114" s="232" t="s">
        <v>272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5">
        <v>40</v>
      </c>
      <c r="J114" s="226">
        <v>0</v>
      </c>
      <c r="K114" s="226">
        <v>0</v>
      </c>
      <c r="L114" s="226">
        <v>0</v>
      </c>
      <c r="M114" s="227">
        <v>0</v>
      </c>
    </row>
    <row r="115" spans="1:13">
      <c r="A115" s="128" t="s">
        <v>245</v>
      </c>
      <c r="B115" s="128" t="s">
        <v>19</v>
      </c>
      <c r="C115" s="128" t="s">
        <v>286</v>
      </c>
      <c r="D115" s="232" t="s">
        <v>272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5">
        <v>40</v>
      </c>
      <c r="J115" s="226">
        <v>0</v>
      </c>
      <c r="K115" s="226">
        <v>0</v>
      </c>
      <c r="L115" s="226">
        <v>0</v>
      </c>
      <c r="M115" s="227">
        <v>0</v>
      </c>
    </row>
    <row r="116" spans="1:13">
      <c r="A116" s="128" t="s">
        <v>245</v>
      </c>
      <c r="B116" s="128" t="s">
        <v>23</v>
      </c>
      <c r="C116" s="128" t="s">
        <v>290</v>
      </c>
      <c r="D116" s="232" t="s">
        <v>272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5">
        <v>40</v>
      </c>
      <c r="J116" s="226">
        <v>0</v>
      </c>
      <c r="K116" s="226">
        <v>0</v>
      </c>
      <c r="L116" s="226">
        <v>0</v>
      </c>
      <c r="M116" s="227">
        <v>0</v>
      </c>
    </row>
    <row r="117" spans="1:13">
      <c r="A117" s="128" t="s">
        <v>245</v>
      </c>
      <c r="B117" s="128" t="s">
        <v>27</v>
      </c>
      <c r="C117" s="128" t="s">
        <v>294</v>
      </c>
      <c r="D117" s="232" t="s">
        <v>272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5">
        <v>40</v>
      </c>
      <c r="J117" s="226">
        <v>0</v>
      </c>
      <c r="K117" s="226">
        <v>0</v>
      </c>
      <c r="L117" s="226">
        <v>0</v>
      </c>
      <c r="M117" s="227">
        <v>0</v>
      </c>
    </row>
    <row r="118" spans="1:13">
      <c r="A118" s="128" t="s">
        <v>245</v>
      </c>
      <c r="B118" s="128" t="s">
        <v>31</v>
      </c>
      <c r="C118" s="128" t="s">
        <v>298</v>
      </c>
      <c r="D118" s="232" t="s">
        <v>272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5">
        <v>40</v>
      </c>
      <c r="J118" s="226">
        <v>0</v>
      </c>
      <c r="K118" s="226">
        <v>0</v>
      </c>
      <c r="L118" s="226">
        <v>0</v>
      </c>
      <c r="M118" s="227">
        <v>0</v>
      </c>
    </row>
    <row r="119" spans="1:13">
      <c r="A119" s="128" t="s">
        <v>245</v>
      </c>
      <c r="B119" s="128" t="s">
        <v>10</v>
      </c>
      <c r="C119" s="128" t="s">
        <v>277</v>
      </c>
      <c r="D119" s="232" t="s">
        <v>272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5">
        <v>40</v>
      </c>
      <c r="J119" s="226">
        <v>0</v>
      </c>
      <c r="K119" s="226">
        <v>0</v>
      </c>
      <c r="L119" s="226">
        <v>0</v>
      </c>
      <c r="M119" s="227">
        <v>0</v>
      </c>
    </row>
    <row r="120" spans="1:13">
      <c r="A120" s="128" t="s">
        <v>245</v>
      </c>
      <c r="B120" s="128" t="s">
        <v>12</v>
      </c>
      <c r="C120" s="128" t="s">
        <v>279</v>
      </c>
      <c r="D120" s="232" t="s">
        <v>272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5">
        <v>40</v>
      </c>
      <c r="J120" s="226">
        <v>0</v>
      </c>
      <c r="K120" s="226">
        <v>0</v>
      </c>
      <c r="L120" s="226">
        <v>0</v>
      </c>
      <c r="M120" s="227">
        <v>0</v>
      </c>
    </row>
    <row r="121" spans="1:13">
      <c r="A121" s="128" t="s">
        <v>245</v>
      </c>
      <c r="B121" s="128" t="s">
        <v>14</v>
      </c>
      <c r="C121" s="128" t="s">
        <v>281</v>
      </c>
      <c r="D121" s="232" t="s">
        <v>272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5">
        <v>40</v>
      </c>
      <c r="J121" s="226">
        <v>0</v>
      </c>
      <c r="K121" s="226">
        <v>0</v>
      </c>
      <c r="L121" s="226">
        <v>0</v>
      </c>
      <c r="M121" s="227">
        <v>0</v>
      </c>
    </row>
    <row r="122" spans="1:13">
      <c r="A122" s="128" t="s">
        <v>245</v>
      </c>
      <c r="B122" s="128" t="s">
        <v>16</v>
      </c>
      <c r="C122" s="128" t="s">
        <v>283</v>
      </c>
      <c r="D122" s="232" t="s">
        <v>272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5">
        <v>40</v>
      </c>
      <c r="J122" s="226">
        <v>0</v>
      </c>
      <c r="K122" s="226">
        <v>0</v>
      </c>
      <c r="L122" s="226">
        <v>0</v>
      </c>
      <c r="M122" s="227">
        <v>0</v>
      </c>
    </row>
    <row r="123" spans="1:13">
      <c r="A123" s="128" t="s">
        <v>245</v>
      </c>
      <c r="B123" s="128" t="s">
        <v>52</v>
      </c>
      <c r="C123" s="128" t="s">
        <v>319</v>
      </c>
      <c r="D123" s="232" t="s">
        <v>272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5">
        <v>40</v>
      </c>
      <c r="J123" s="226">
        <v>0</v>
      </c>
      <c r="K123" s="226">
        <v>0</v>
      </c>
      <c r="L123" s="226">
        <v>0</v>
      </c>
      <c r="M123" s="227">
        <v>0</v>
      </c>
    </row>
    <row r="124" spans="1:13">
      <c r="A124" s="128" t="s">
        <v>245</v>
      </c>
      <c r="B124" s="128" t="s">
        <v>57</v>
      </c>
      <c r="C124" s="128" t="s">
        <v>324</v>
      </c>
      <c r="D124" s="232" t="s">
        <v>272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5">
        <v>40</v>
      </c>
      <c r="J124" s="226">
        <v>0</v>
      </c>
      <c r="K124" s="226">
        <v>0</v>
      </c>
      <c r="L124" s="226">
        <v>0</v>
      </c>
      <c r="M124" s="227">
        <v>0</v>
      </c>
    </row>
    <row r="125" spans="1:13">
      <c r="A125" s="128" t="s">
        <v>245</v>
      </c>
      <c r="B125" s="128" t="s">
        <v>62</v>
      </c>
      <c r="C125" s="128" t="s">
        <v>329</v>
      </c>
      <c r="D125" s="232" t="s">
        <v>272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5">
        <v>40</v>
      </c>
      <c r="J125" s="226">
        <v>0</v>
      </c>
      <c r="K125" s="226">
        <v>0</v>
      </c>
      <c r="L125" s="226">
        <v>0</v>
      </c>
      <c r="M125" s="227">
        <v>0</v>
      </c>
    </row>
    <row r="126" spans="1:13">
      <c r="A126" s="128" t="s">
        <v>245</v>
      </c>
      <c r="B126" s="128" t="s">
        <v>67</v>
      </c>
      <c r="C126" s="128" t="s">
        <v>334</v>
      </c>
      <c r="D126" s="232" t="s">
        <v>272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5">
        <v>40</v>
      </c>
      <c r="J126" s="226">
        <v>0</v>
      </c>
      <c r="K126" s="226">
        <v>0</v>
      </c>
      <c r="L126" s="226">
        <v>0</v>
      </c>
      <c r="M126" s="227">
        <v>0</v>
      </c>
    </row>
    <row r="127" spans="1:13">
      <c r="A127" s="128" t="s">
        <v>245</v>
      </c>
      <c r="B127" s="128" t="s">
        <v>20</v>
      </c>
      <c r="C127" s="128" t="s">
        <v>287</v>
      </c>
      <c r="D127" s="232" t="s">
        <v>272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5">
        <v>40</v>
      </c>
      <c r="J127" s="226">
        <v>0</v>
      </c>
      <c r="K127" s="226">
        <v>0</v>
      </c>
      <c r="L127" s="226">
        <v>0</v>
      </c>
      <c r="M127" s="227">
        <v>0</v>
      </c>
    </row>
    <row r="128" spans="1:13">
      <c r="A128" s="128" t="s">
        <v>245</v>
      </c>
      <c r="B128" s="128" t="s">
        <v>24</v>
      </c>
      <c r="C128" s="128" t="s">
        <v>291</v>
      </c>
      <c r="D128" s="232" t="s">
        <v>272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5">
        <v>40</v>
      </c>
      <c r="J128" s="226">
        <v>0</v>
      </c>
      <c r="K128" s="226">
        <v>0</v>
      </c>
      <c r="L128" s="226">
        <v>0</v>
      </c>
      <c r="M128" s="227">
        <v>0</v>
      </c>
    </row>
    <row r="129" spans="1:13">
      <c r="A129" s="128" t="s">
        <v>245</v>
      </c>
      <c r="B129" s="128" t="s">
        <v>28</v>
      </c>
      <c r="C129" s="128" t="s">
        <v>295</v>
      </c>
      <c r="D129" s="232" t="s">
        <v>272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5">
        <v>40</v>
      </c>
      <c r="J129" s="226">
        <v>0</v>
      </c>
      <c r="K129" s="226">
        <v>0</v>
      </c>
      <c r="L129" s="226">
        <v>0</v>
      </c>
      <c r="M129" s="227">
        <v>0</v>
      </c>
    </row>
    <row r="130" spans="1:13">
      <c r="A130" s="128" t="s">
        <v>245</v>
      </c>
      <c r="B130" s="128" t="s">
        <v>32</v>
      </c>
      <c r="C130" s="128" t="s">
        <v>299</v>
      </c>
      <c r="D130" s="232" t="s">
        <v>272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5">
        <v>40</v>
      </c>
      <c r="J130" s="226">
        <v>0</v>
      </c>
      <c r="K130" s="226">
        <v>0</v>
      </c>
      <c r="L130" s="226">
        <v>0</v>
      </c>
      <c r="M130" s="227">
        <v>0</v>
      </c>
    </row>
    <row r="131" spans="1:13">
      <c r="A131" s="128" t="s">
        <v>245</v>
      </c>
      <c r="B131" s="128" t="s">
        <v>21</v>
      </c>
      <c r="C131" s="128" t="s">
        <v>288</v>
      </c>
      <c r="D131" s="232" t="s">
        <v>272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5">
        <v>40</v>
      </c>
      <c r="J131" s="226">
        <v>0</v>
      </c>
      <c r="K131" s="226">
        <v>0</v>
      </c>
      <c r="L131" s="226">
        <v>0</v>
      </c>
      <c r="M131" s="227">
        <v>0</v>
      </c>
    </row>
    <row r="132" spans="1:13">
      <c r="A132" s="128" t="s">
        <v>245</v>
      </c>
      <c r="B132" s="128" t="s">
        <v>25</v>
      </c>
      <c r="C132" s="128" t="s">
        <v>292</v>
      </c>
      <c r="D132" s="232" t="s">
        <v>272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5">
        <v>40</v>
      </c>
      <c r="J132" s="226">
        <v>0</v>
      </c>
      <c r="K132" s="226">
        <v>0</v>
      </c>
      <c r="L132" s="226">
        <v>0</v>
      </c>
      <c r="M132" s="227">
        <v>0</v>
      </c>
    </row>
    <row r="133" spans="1:13">
      <c r="A133" s="128" t="s">
        <v>245</v>
      </c>
      <c r="B133" s="128" t="s">
        <v>29</v>
      </c>
      <c r="C133" s="128" t="s">
        <v>296</v>
      </c>
      <c r="D133" s="232" t="s">
        <v>272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5">
        <v>40</v>
      </c>
      <c r="J133" s="226">
        <v>0</v>
      </c>
      <c r="K133" s="226">
        <v>0</v>
      </c>
      <c r="L133" s="226">
        <v>0</v>
      </c>
      <c r="M133" s="227">
        <v>0</v>
      </c>
    </row>
    <row r="134" spans="1:13">
      <c r="A134" s="128" t="s">
        <v>245</v>
      </c>
      <c r="B134" s="128" t="s">
        <v>33</v>
      </c>
      <c r="C134" s="128" t="s">
        <v>300</v>
      </c>
      <c r="D134" s="232" t="s">
        <v>272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5">
        <v>40</v>
      </c>
      <c r="J134" s="226">
        <v>0</v>
      </c>
      <c r="K134" s="226">
        <v>0</v>
      </c>
      <c r="L134" s="226">
        <v>0</v>
      </c>
      <c r="M134" s="227">
        <v>0</v>
      </c>
    </row>
    <row r="135" spans="1:13">
      <c r="A135" s="128" t="s">
        <v>245</v>
      </c>
      <c r="B135" s="128" t="s">
        <v>35</v>
      </c>
      <c r="C135" s="128" t="s">
        <v>302</v>
      </c>
      <c r="D135" s="232" t="s">
        <v>272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5">
        <v>40</v>
      </c>
      <c r="J135" s="226">
        <v>0</v>
      </c>
      <c r="K135" s="226">
        <v>0</v>
      </c>
      <c r="L135" s="226">
        <v>0</v>
      </c>
      <c r="M135" s="227">
        <v>0</v>
      </c>
    </row>
    <row r="136" spans="1:13">
      <c r="A136" s="128" t="s">
        <v>245</v>
      </c>
      <c r="B136" s="128" t="s">
        <v>39</v>
      </c>
      <c r="C136" s="128" t="s">
        <v>306</v>
      </c>
      <c r="D136" s="232" t="s">
        <v>272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5">
        <v>40</v>
      </c>
      <c r="J136" s="226">
        <v>0</v>
      </c>
      <c r="K136" s="226">
        <v>0</v>
      </c>
      <c r="L136" s="226">
        <v>0</v>
      </c>
      <c r="M136" s="227">
        <v>0</v>
      </c>
    </row>
    <row r="137" spans="1:13">
      <c r="A137" s="128" t="s">
        <v>245</v>
      </c>
      <c r="B137" s="128" t="s">
        <v>43</v>
      </c>
      <c r="C137" s="128" t="s">
        <v>310</v>
      </c>
      <c r="D137" s="232" t="s">
        <v>272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5">
        <v>40</v>
      </c>
      <c r="J137" s="226">
        <v>0</v>
      </c>
      <c r="K137" s="226">
        <v>0</v>
      </c>
      <c r="L137" s="226">
        <v>0</v>
      </c>
      <c r="M137" s="227">
        <v>0</v>
      </c>
    </row>
    <row r="138" spans="1:13">
      <c r="A138" s="128" t="s">
        <v>245</v>
      </c>
      <c r="B138" s="128" t="s">
        <v>47</v>
      </c>
      <c r="C138" s="128" t="s">
        <v>314</v>
      </c>
      <c r="D138" s="232" t="s">
        <v>272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5">
        <v>40</v>
      </c>
      <c r="J138" s="226">
        <v>0</v>
      </c>
      <c r="K138" s="226">
        <v>0</v>
      </c>
      <c r="L138" s="226">
        <v>0</v>
      </c>
      <c r="M138" s="227">
        <v>0</v>
      </c>
    </row>
    <row r="139" spans="1:13">
      <c r="A139" s="128" t="s">
        <v>245</v>
      </c>
      <c r="B139" s="128" t="s">
        <v>36</v>
      </c>
      <c r="C139" s="128" t="s">
        <v>303</v>
      </c>
      <c r="D139" s="232" t="s">
        <v>272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5">
        <v>40</v>
      </c>
      <c r="J139" s="226">
        <v>0</v>
      </c>
      <c r="K139" s="226">
        <v>0</v>
      </c>
      <c r="L139" s="226">
        <v>0</v>
      </c>
      <c r="M139" s="227">
        <v>0</v>
      </c>
    </row>
    <row r="140" spans="1:13">
      <c r="A140" s="128" t="s">
        <v>245</v>
      </c>
      <c r="B140" s="128" t="s">
        <v>40</v>
      </c>
      <c r="C140" s="128" t="s">
        <v>307</v>
      </c>
      <c r="D140" s="232" t="s">
        <v>272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5">
        <v>40</v>
      </c>
      <c r="J140" s="226">
        <v>0</v>
      </c>
      <c r="K140" s="226">
        <v>0</v>
      </c>
      <c r="L140" s="226">
        <v>0</v>
      </c>
      <c r="M140" s="227">
        <v>0</v>
      </c>
    </row>
    <row r="141" spans="1:13">
      <c r="A141" s="128" t="s">
        <v>245</v>
      </c>
      <c r="B141" s="128" t="s">
        <v>44</v>
      </c>
      <c r="C141" s="128" t="s">
        <v>311</v>
      </c>
      <c r="D141" s="232" t="s">
        <v>272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5">
        <v>40</v>
      </c>
      <c r="J141" s="226">
        <v>0</v>
      </c>
      <c r="K141" s="226">
        <v>0</v>
      </c>
      <c r="L141" s="226">
        <v>0</v>
      </c>
      <c r="M141" s="227">
        <v>0</v>
      </c>
    </row>
    <row r="142" spans="1:13">
      <c r="A142" s="128" t="s">
        <v>245</v>
      </c>
      <c r="B142" s="128" t="s">
        <v>48</v>
      </c>
      <c r="C142" s="128" t="s">
        <v>315</v>
      </c>
      <c r="D142" s="232" t="s">
        <v>272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5">
        <v>40</v>
      </c>
      <c r="J142" s="226">
        <v>0</v>
      </c>
      <c r="K142" s="226">
        <v>0</v>
      </c>
      <c r="L142" s="226">
        <v>0</v>
      </c>
      <c r="M142" s="227">
        <v>0</v>
      </c>
    </row>
    <row r="143" spans="1:13">
      <c r="A143" s="128" t="s">
        <v>245</v>
      </c>
      <c r="B143" s="128" t="s">
        <v>11</v>
      </c>
      <c r="C143" s="128" t="s">
        <v>278</v>
      </c>
      <c r="D143" s="232" t="s">
        <v>272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5">
        <v>40</v>
      </c>
      <c r="J143" s="226">
        <v>0</v>
      </c>
      <c r="K143" s="226">
        <v>0</v>
      </c>
      <c r="L143" s="226">
        <v>0</v>
      </c>
      <c r="M143" s="227">
        <v>0</v>
      </c>
    </row>
    <row r="144" spans="1:13">
      <c r="A144" s="128" t="s">
        <v>245</v>
      </c>
      <c r="B144" s="128" t="s">
        <v>13</v>
      </c>
      <c r="C144" s="128" t="s">
        <v>280</v>
      </c>
      <c r="D144" s="232" t="s">
        <v>272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5">
        <v>40</v>
      </c>
      <c r="J144" s="226">
        <v>0</v>
      </c>
      <c r="K144" s="226">
        <v>0</v>
      </c>
      <c r="L144" s="226">
        <v>0</v>
      </c>
      <c r="M144" s="227">
        <v>0</v>
      </c>
    </row>
    <row r="145" spans="1:13">
      <c r="A145" s="128" t="s">
        <v>245</v>
      </c>
      <c r="B145" s="128" t="s">
        <v>15</v>
      </c>
      <c r="C145" s="128" t="s">
        <v>282</v>
      </c>
      <c r="D145" s="232" t="s">
        <v>272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5">
        <v>40</v>
      </c>
      <c r="J145" s="226">
        <v>0</v>
      </c>
      <c r="K145" s="226">
        <v>0</v>
      </c>
      <c r="L145" s="226">
        <v>0</v>
      </c>
      <c r="M145" s="227">
        <v>0</v>
      </c>
    </row>
    <row r="146" spans="1:13">
      <c r="A146" s="128" t="s">
        <v>245</v>
      </c>
      <c r="B146" s="128" t="s">
        <v>17</v>
      </c>
      <c r="C146" s="128" t="s">
        <v>284</v>
      </c>
      <c r="D146" s="232" t="s">
        <v>272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5">
        <v>40</v>
      </c>
      <c r="J146" s="226">
        <v>0</v>
      </c>
      <c r="K146" s="226">
        <v>0</v>
      </c>
      <c r="L146" s="226">
        <v>0</v>
      </c>
      <c r="M146" s="227">
        <v>0</v>
      </c>
    </row>
    <row r="147" spans="1:13">
      <c r="A147" s="128" t="s">
        <v>245</v>
      </c>
      <c r="B147" s="128" t="s">
        <v>37</v>
      </c>
      <c r="C147" s="128" t="s">
        <v>304</v>
      </c>
      <c r="D147" s="232" t="s">
        <v>272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5">
        <v>40</v>
      </c>
      <c r="J147" s="226">
        <v>0</v>
      </c>
      <c r="K147" s="226">
        <v>0</v>
      </c>
      <c r="L147" s="226">
        <v>0</v>
      </c>
      <c r="M147" s="227">
        <v>0</v>
      </c>
    </row>
    <row r="148" spans="1:13">
      <c r="A148" s="128" t="s">
        <v>245</v>
      </c>
      <c r="B148" s="128" t="s">
        <v>41</v>
      </c>
      <c r="C148" s="128" t="s">
        <v>308</v>
      </c>
      <c r="D148" s="232" t="s">
        <v>272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5">
        <v>40</v>
      </c>
      <c r="J148" s="226">
        <v>0</v>
      </c>
      <c r="K148" s="226">
        <v>0</v>
      </c>
      <c r="L148" s="226">
        <v>0</v>
      </c>
      <c r="M148" s="227">
        <v>0</v>
      </c>
    </row>
    <row r="149" spans="1:13">
      <c r="A149" s="128" t="s">
        <v>245</v>
      </c>
      <c r="B149" s="128" t="s">
        <v>45</v>
      </c>
      <c r="C149" s="128" t="s">
        <v>312</v>
      </c>
      <c r="D149" s="232" t="s">
        <v>272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5">
        <v>40</v>
      </c>
      <c r="J149" s="226">
        <v>0</v>
      </c>
      <c r="K149" s="226">
        <v>0</v>
      </c>
      <c r="L149" s="226">
        <v>0</v>
      </c>
      <c r="M149" s="227">
        <v>0</v>
      </c>
    </row>
    <row r="150" spans="1:13">
      <c r="A150" s="128" t="s">
        <v>245</v>
      </c>
      <c r="B150" s="128" t="s">
        <v>49</v>
      </c>
      <c r="C150" s="128" t="s">
        <v>316</v>
      </c>
      <c r="D150" s="232" t="s">
        <v>272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5">
        <v>40</v>
      </c>
      <c r="J150" s="226">
        <v>0</v>
      </c>
      <c r="K150" s="226">
        <v>0</v>
      </c>
      <c r="L150" s="226">
        <v>0</v>
      </c>
      <c r="M150" s="227">
        <v>0</v>
      </c>
    </row>
    <row r="151" spans="1:13">
      <c r="A151" s="128" t="s">
        <v>245</v>
      </c>
      <c r="B151" s="128" t="s">
        <v>53</v>
      </c>
      <c r="C151" s="128" t="s">
        <v>320</v>
      </c>
      <c r="D151" s="232" t="s">
        <v>272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5">
        <v>40</v>
      </c>
      <c r="J151" s="226">
        <v>0</v>
      </c>
      <c r="K151" s="226">
        <v>0</v>
      </c>
      <c r="L151" s="226">
        <v>0</v>
      </c>
      <c r="M151" s="227">
        <v>0</v>
      </c>
    </row>
    <row r="152" spans="1:13">
      <c r="A152" s="128" t="s">
        <v>245</v>
      </c>
      <c r="B152" s="128" t="s">
        <v>58</v>
      </c>
      <c r="C152" s="128" t="s">
        <v>325</v>
      </c>
      <c r="D152" s="232" t="s">
        <v>272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5">
        <v>40</v>
      </c>
      <c r="J152" s="226">
        <v>0</v>
      </c>
      <c r="K152" s="226">
        <v>0</v>
      </c>
      <c r="L152" s="226">
        <v>0</v>
      </c>
      <c r="M152" s="227">
        <v>0</v>
      </c>
    </row>
    <row r="153" spans="1:13">
      <c r="A153" s="128" t="s">
        <v>245</v>
      </c>
      <c r="B153" s="128" t="s">
        <v>63</v>
      </c>
      <c r="C153" s="128" t="s">
        <v>330</v>
      </c>
      <c r="D153" s="232" t="s">
        <v>272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5">
        <v>40</v>
      </c>
      <c r="J153" s="226">
        <v>0</v>
      </c>
      <c r="K153" s="226">
        <v>0</v>
      </c>
      <c r="L153" s="226">
        <v>0</v>
      </c>
      <c r="M153" s="227">
        <v>0</v>
      </c>
    </row>
    <row r="154" spans="1:13">
      <c r="A154" s="128" t="s">
        <v>245</v>
      </c>
      <c r="B154" s="128" t="s">
        <v>68</v>
      </c>
      <c r="C154" s="128" t="s">
        <v>335</v>
      </c>
      <c r="D154" s="232" t="s">
        <v>272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5">
        <v>40</v>
      </c>
      <c r="J154" s="226">
        <v>0</v>
      </c>
      <c r="K154" s="226">
        <v>0</v>
      </c>
      <c r="L154" s="226">
        <v>0</v>
      </c>
      <c r="M154" s="227">
        <v>0</v>
      </c>
    </row>
    <row r="155" spans="1:13">
      <c r="A155" s="128" t="s">
        <v>245</v>
      </c>
      <c r="B155" s="128" t="s">
        <v>54</v>
      </c>
      <c r="C155" s="128" t="s">
        <v>321</v>
      </c>
      <c r="D155" s="232" t="s">
        <v>272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5">
        <v>40</v>
      </c>
      <c r="J155" s="226">
        <v>0</v>
      </c>
      <c r="K155" s="226">
        <v>0</v>
      </c>
      <c r="L155" s="226">
        <v>0</v>
      </c>
      <c r="M155" s="227">
        <v>0</v>
      </c>
    </row>
    <row r="156" spans="1:13">
      <c r="A156" s="128" t="s">
        <v>245</v>
      </c>
      <c r="B156" s="128" t="s">
        <v>59</v>
      </c>
      <c r="C156" s="128" t="s">
        <v>326</v>
      </c>
      <c r="D156" s="232" t="s">
        <v>272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5">
        <v>40</v>
      </c>
      <c r="J156" s="226">
        <v>0</v>
      </c>
      <c r="K156" s="226">
        <v>0</v>
      </c>
      <c r="L156" s="226">
        <v>0</v>
      </c>
      <c r="M156" s="227">
        <v>0</v>
      </c>
    </row>
    <row r="157" spans="1:13">
      <c r="A157" s="128" t="s">
        <v>245</v>
      </c>
      <c r="B157" s="128" t="s">
        <v>64</v>
      </c>
      <c r="C157" s="128" t="s">
        <v>331</v>
      </c>
      <c r="D157" s="232" t="s">
        <v>272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5">
        <v>40</v>
      </c>
      <c r="J157" s="226">
        <v>0</v>
      </c>
      <c r="K157" s="226">
        <v>0</v>
      </c>
      <c r="L157" s="226">
        <v>0</v>
      </c>
      <c r="M157" s="227">
        <v>0</v>
      </c>
    </row>
    <row r="158" spans="1:13">
      <c r="A158" s="128" t="s">
        <v>245</v>
      </c>
      <c r="B158" s="128" t="s">
        <v>69</v>
      </c>
      <c r="C158" s="128" t="s">
        <v>336</v>
      </c>
      <c r="D158" s="232" t="s">
        <v>272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5">
        <v>40</v>
      </c>
      <c r="J158" s="226">
        <v>0</v>
      </c>
      <c r="K158" s="226">
        <v>0</v>
      </c>
      <c r="L158" s="226">
        <v>0</v>
      </c>
      <c r="M158" s="227">
        <v>0</v>
      </c>
    </row>
  </sheetData>
  <sheetProtection password="C883" sheet="1" objects="1" scenarios="1"/>
  <autoFilter ref="A2:M158" xr:uid="{00000000-0009-0000-0000-000007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ColWidth="11.453125" defaultRowHeight="14.5"/>
  <cols>
    <col min="1" max="1" width="9.7265625" style="254" customWidth="1"/>
    <col min="2" max="2" width="7" style="255" customWidth="1"/>
    <col min="3" max="3" width="27.7265625" style="234" customWidth="1"/>
    <col min="4" max="10" width="8.81640625" style="234" customWidth="1"/>
    <col min="11" max="14" width="11.453125" style="234" customWidth="1"/>
    <col min="15" max="15" width="12.26953125" style="128" customWidth="1"/>
    <col min="16" max="16" width="16.54296875" style="234" customWidth="1"/>
    <col min="17" max="16384" width="11.453125" style="234"/>
  </cols>
  <sheetData>
    <row r="1" spans="1:16" s="233" customFormat="1">
      <c r="A1" s="131" t="s">
        <v>457</v>
      </c>
      <c r="B1" s="128"/>
      <c r="D1" s="214" t="s">
        <v>546</v>
      </c>
    </row>
    <row r="2" spans="1:16">
      <c r="A2" s="234"/>
      <c r="B2" s="233" t="s">
        <v>458</v>
      </c>
    </row>
    <row r="3" spans="1:16" ht="20.149999999999999" customHeight="1">
      <c r="A3" s="357" t="s">
        <v>248</v>
      </c>
      <c r="B3" s="235" t="s">
        <v>86</v>
      </c>
      <c r="C3" s="236"/>
      <c r="D3" s="359" t="s">
        <v>459</v>
      </c>
      <c r="E3" s="360"/>
      <c r="F3" s="360"/>
      <c r="G3" s="360"/>
      <c r="H3" s="360"/>
      <c r="I3" s="360"/>
      <c r="J3" s="361"/>
      <c r="K3" s="237"/>
      <c r="L3" s="237"/>
      <c r="M3" s="237"/>
      <c r="N3" s="237"/>
      <c r="O3" s="238"/>
      <c r="P3" s="237"/>
    </row>
    <row r="4" spans="1:16" ht="20.149999999999999" customHeight="1">
      <c r="A4" s="358"/>
      <c r="B4" s="239"/>
      <c r="C4" s="240"/>
      <c r="D4" s="241" t="s">
        <v>87</v>
      </c>
      <c r="E4" s="241" t="s">
        <v>88</v>
      </c>
      <c r="F4" s="241" t="s">
        <v>89</v>
      </c>
      <c r="G4" s="241" t="s">
        <v>90</v>
      </c>
      <c r="H4" s="241" t="s">
        <v>91</v>
      </c>
      <c r="I4" s="241" t="s">
        <v>92</v>
      </c>
      <c r="J4" s="241" t="s">
        <v>93</v>
      </c>
      <c r="K4" s="237"/>
      <c r="L4" s="237"/>
      <c r="M4" s="237"/>
      <c r="N4" s="237"/>
      <c r="O4" s="238"/>
      <c r="P4" s="237"/>
    </row>
    <row r="5" spans="1:16" ht="31.5" customHeight="1">
      <c r="A5" s="242"/>
      <c r="B5" s="243" t="s">
        <v>94</v>
      </c>
      <c r="C5" s="240"/>
      <c r="D5" s="241" t="s">
        <v>95</v>
      </c>
      <c r="E5" s="241" t="s">
        <v>96</v>
      </c>
      <c r="F5" s="241" t="s">
        <v>97</v>
      </c>
      <c r="G5" s="241" t="s">
        <v>98</v>
      </c>
      <c r="H5" s="241" t="s">
        <v>99</v>
      </c>
      <c r="I5" s="241" t="s">
        <v>100</v>
      </c>
      <c r="J5" s="241" t="s">
        <v>101</v>
      </c>
      <c r="K5" s="241" t="s">
        <v>102</v>
      </c>
      <c r="L5" s="242" t="s">
        <v>103</v>
      </c>
      <c r="M5" s="242" t="s">
        <v>104</v>
      </c>
      <c r="N5" s="244" t="s">
        <v>147</v>
      </c>
      <c r="O5" s="244" t="s">
        <v>250</v>
      </c>
      <c r="P5" s="245" t="s">
        <v>249</v>
      </c>
    </row>
    <row r="6" spans="1:16" ht="20.149999999999999" customHeight="1">
      <c r="A6" s="242"/>
      <c r="B6" s="243">
        <v>1</v>
      </c>
      <c r="C6" s="246">
        <v>2</v>
      </c>
      <c r="D6" s="241">
        <v>3</v>
      </c>
      <c r="E6" s="241">
        <v>4</v>
      </c>
      <c r="F6" s="241">
        <v>5</v>
      </c>
      <c r="G6" s="241">
        <v>6</v>
      </c>
      <c r="H6" s="241">
        <v>7</v>
      </c>
      <c r="I6" s="241">
        <v>8</v>
      </c>
      <c r="J6" s="241">
        <v>9</v>
      </c>
      <c r="K6" s="241">
        <v>10</v>
      </c>
      <c r="L6" s="241">
        <v>11</v>
      </c>
      <c r="M6" s="241">
        <v>12</v>
      </c>
      <c r="N6" s="241"/>
      <c r="O6" s="247"/>
      <c r="P6" s="241"/>
    </row>
    <row r="7" spans="1:16" ht="21" customHeight="1">
      <c r="A7" s="248">
        <v>1</v>
      </c>
      <c r="B7" s="241" t="s">
        <v>105</v>
      </c>
      <c r="C7" s="249" t="s">
        <v>106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1" t="s">
        <v>102</v>
      </c>
      <c r="M7" s="251">
        <f t="shared" ref="M7:M21" si="0">MAX(D7:J7)</f>
        <v>1</v>
      </c>
      <c r="N7" s="252" t="s">
        <v>368</v>
      </c>
      <c r="O7" s="247"/>
      <c r="P7" s="241"/>
    </row>
    <row r="8" spans="1:16" ht="21" customHeight="1">
      <c r="A8" s="248">
        <v>2</v>
      </c>
      <c r="B8" s="241" t="s">
        <v>107</v>
      </c>
      <c r="C8" s="249" t="s">
        <v>108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1" t="s">
        <v>102</v>
      </c>
      <c r="M8" s="251">
        <f t="shared" si="0"/>
        <v>1</v>
      </c>
      <c r="N8" s="252" t="s">
        <v>368</v>
      </c>
      <c r="O8" s="247"/>
      <c r="P8" s="241"/>
    </row>
    <row r="9" spans="1:16" ht="21" customHeight="1">
      <c r="A9" s="248">
        <v>3</v>
      </c>
      <c r="B9" s="241" t="s">
        <v>246</v>
      </c>
      <c r="C9" s="253" t="s">
        <v>5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1" t="s">
        <v>102</v>
      </c>
      <c r="M9" s="251">
        <f t="shared" ref="M9" si="1">MAX(D9:J9)</f>
        <v>1</v>
      </c>
      <c r="N9" s="252" t="s">
        <v>5</v>
      </c>
      <c r="O9" s="247"/>
      <c r="P9" s="241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7.5">
      <c r="A11" s="248">
        <v>4</v>
      </c>
      <c r="B11" s="241" t="s">
        <v>109</v>
      </c>
      <c r="C11" s="257" t="s">
        <v>110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1" t="s">
        <v>96</v>
      </c>
      <c r="M11" s="251">
        <f t="shared" si="0"/>
        <v>1.0522626697461936</v>
      </c>
      <c r="N11" s="252" t="s">
        <v>253</v>
      </c>
      <c r="O11" s="247" t="s">
        <v>251</v>
      </c>
      <c r="P11" s="241"/>
    </row>
    <row r="12" spans="1:16">
      <c r="A12" s="248">
        <v>5</v>
      </c>
      <c r="B12" s="241" t="s">
        <v>111</v>
      </c>
      <c r="C12" s="257" t="s">
        <v>112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1" t="s">
        <v>95</v>
      </c>
      <c r="M12" s="251">
        <f t="shared" si="0"/>
        <v>1.0358469949391176</v>
      </c>
      <c r="N12" s="252" t="s">
        <v>253</v>
      </c>
      <c r="O12" s="247" t="s">
        <v>251</v>
      </c>
      <c r="P12" s="241"/>
    </row>
    <row r="13" spans="1:16">
      <c r="A13" s="248">
        <v>6</v>
      </c>
      <c r="B13" s="241" t="s">
        <v>113</v>
      </c>
      <c r="C13" s="257" t="s">
        <v>114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1" t="s">
        <v>95</v>
      </c>
      <c r="M13" s="251">
        <f t="shared" si="0"/>
        <v>1.069856584592316</v>
      </c>
      <c r="N13" s="252" t="s">
        <v>253</v>
      </c>
      <c r="O13" s="247" t="s">
        <v>251</v>
      </c>
      <c r="P13" s="241"/>
    </row>
    <row r="14" spans="1:16" ht="21" customHeight="1">
      <c r="A14" s="248">
        <v>7</v>
      </c>
      <c r="B14" s="241" t="s">
        <v>115</v>
      </c>
      <c r="C14" s="257" t="s">
        <v>116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1" t="s">
        <v>95</v>
      </c>
      <c r="M14" s="251">
        <f t="shared" si="0"/>
        <v>1.1052461688999999</v>
      </c>
      <c r="N14" s="252" t="s">
        <v>253</v>
      </c>
      <c r="O14" s="247" t="s">
        <v>251</v>
      </c>
      <c r="P14" s="241"/>
    </row>
    <row r="15" spans="1:16" ht="21" customHeight="1">
      <c r="A15" s="248">
        <v>8</v>
      </c>
      <c r="B15" s="241" t="s">
        <v>117</v>
      </c>
      <c r="C15" s="257" t="s">
        <v>118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1" t="s">
        <v>96</v>
      </c>
      <c r="M15" s="251">
        <f t="shared" si="0"/>
        <v>1.0389446761000001</v>
      </c>
      <c r="N15" s="252" t="s">
        <v>253</v>
      </c>
      <c r="O15" s="247" t="s">
        <v>251</v>
      </c>
      <c r="P15" s="241"/>
    </row>
    <row r="16" spans="1:16" ht="21" customHeight="1">
      <c r="A16" s="248">
        <v>9</v>
      </c>
      <c r="B16" s="241" t="s">
        <v>123</v>
      </c>
      <c r="C16" s="257" t="s">
        <v>124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1" t="s">
        <v>97</v>
      </c>
      <c r="M16" s="251">
        <f>MAX(D16:J16)</f>
        <v>1.2706602107</v>
      </c>
      <c r="N16" s="252" t="s">
        <v>253</v>
      </c>
      <c r="O16" s="247" t="s">
        <v>251</v>
      </c>
      <c r="P16" s="241"/>
    </row>
    <row r="17" spans="1:16" ht="21" customHeight="1">
      <c r="A17" s="248">
        <v>10</v>
      </c>
      <c r="B17" s="241" t="s">
        <v>119</v>
      </c>
      <c r="C17" s="258" t="s">
        <v>120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1" t="s">
        <v>100</v>
      </c>
      <c r="M17" s="251">
        <f t="shared" si="0"/>
        <v>1.0355882019</v>
      </c>
      <c r="N17" s="252" t="s">
        <v>253</v>
      </c>
      <c r="O17" s="247" t="s">
        <v>252</v>
      </c>
      <c r="P17" s="241" t="s">
        <v>117</v>
      </c>
    </row>
    <row r="18" spans="1:16" ht="21" customHeight="1">
      <c r="A18" s="248">
        <v>11</v>
      </c>
      <c r="B18" s="241" t="s">
        <v>121</v>
      </c>
      <c r="C18" s="258" t="s">
        <v>122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1" t="s">
        <v>99</v>
      </c>
      <c r="M18" s="251">
        <f t="shared" si="0"/>
        <v>1.1401797148999999</v>
      </c>
      <c r="N18" s="252" t="s">
        <v>253</v>
      </c>
      <c r="O18" s="247" t="s">
        <v>252</v>
      </c>
      <c r="P18" s="241" t="s">
        <v>123</v>
      </c>
    </row>
    <row r="19" spans="1:16" ht="21" customHeight="1">
      <c r="A19" s="248">
        <v>12</v>
      </c>
      <c r="B19" s="241" t="s">
        <v>125</v>
      </c>
      <c r="C19" s="258" t="s">
        <v>126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1" t="s">
        <v>98</v>
      </c>
      <c r="M19" s="251">
        <f t="shared" si="0"/>
        <v>1.0552346931000001</v>
      </c>
      <c r="N19" s="252" t="s">
        <v>253</v>
      </c>
      <c r="O19" s="247" t="s">
        <v>252</v>
      </c>
      <c r="P19" s="241" t="s">
        <v>109</v>
      </c>
    </row>
    <row r="20" spans="1:16" ht="21" customHeight="1">
      <c r="A20" s="248">
        <v>13</v>
      </c>
      <c r="B20" s="241" t="s">
        <v>127</v>
      </c>
      <c r="C20" s="258" t="s">
        <v>128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1" t="s">
        <v>95</v>
      </c>
      <c r="M20" s="251">
        <f t="shared" si="0"/>
        <v>1.0865859003</v>
      </c>
      <c r="N20" s="252" t="s">
        <v>253</v>
      </c>
      <c r="O20" s="247" t="s">
        <v>252</v>
      </c>
      <c r="P20" s="241" t="s">
        <v>111</v>
      </c>
    </row>
    <row r="21" spans="1:16" ht="24.75" customHeight="1">
      <c r="A21" s="248">
        <v>14</v>
      </c>
      <c r="B21" s="241" t="s">
        <v>129</v>
      </c>
      <c r="C21" s="258" t="s">
        <v>130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1" t="s">
        <v>96</v>
      </c>
      <c r="M21" s="251">
        <f t="shared" si="0"/>
        <v>1.0522626697461936</v>
      </c>
      <c r="N21" s="252" t="s">
        <v>253</v>
      </c>
      <c r="O21" s="247" t="s">
        <v>252</v>
      </c>
      <c r="P21" s="241" t="s">
        <v>117</v>
      </c>
    </row>
    <row r="22" spans="1:16" ht="25">
      <c r="A22" s="248">
        <v>15</v>
      </c>
      <c r="B22" s="241" t="s">
        <v>131</v>
      </c>
      <c r="C22" s="259" t="s">
        <v>132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1" t="s">
        <v>96</v>
      </c>
      <c r="M22" s="251">
        <f>MAX(D22:J22)</f>
        <v>1.03</v>
      </c>
      <c r="N22" s="252" t="s">
        <v>253</v>
      </c>
      <c r="O22" s="247" t="s">
        <v>252</v>
      </c>
      <c r="P22" s="241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Kamp, Jochen</cp:lastModifiedBy>
  <cp:lastPrinted>2015-03-20T22:59:10Z</cp:lastPrinted>
  <dcterms:created xsi:type="dcterms:W3CDTF">2015-01-15T05:25:41Z</dcterms:created>
  <dcterms:modified xsi:type="dcterms:W3CDTF">2022-10-20T20:10:40Z</dcterms:modified>
</cp:coreProperties>
</file>