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M:\eNG\ND\ND-NM\ND-NM-A\Vertrag und Einspeisung\Vertragsmanagement\Vorlagen\enercity Flughafen Netz\"/>
    </mc:Choice>
  </mc:AlternateContent>
  <xr:revisionPtr revIDLastSave="0" documentId="13_ncr:1_{4C1DA45D-2558-4351-BA9C-E85A77B32272}" xr6:coauthVersionLast="47" xr6:coauthVersionMax="47" xr10:uidLastSave="{00000000-0000-0000-0000-000000000000}"/>
  <bookViews>
    <workbookView xWindow="-57720" yWindow="-120" windowWidth="29040" windowHeight="15840" tabRatio="789" activeTab="3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" i="17" l="1"/>
  <c r="E27" i="1"/>
  <c r="E28" i="1"/>
  <c r="H32" i="17" l="1"/>
  <c r="G32" i="17"/>
  <c r="F32" i="17"/>
  <c r="E32" i="17"/>
  <c r="E7" i="18" l="1"/>
  <c r="E6" i="18"/>
  <c r="E4" i="18"/>
  <c r="E7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F53" i="18" l="1"/>
  <c r="G63" i="18"/>
  <c r="D32" i="18"/>
  <c r="L31" i="18" s="1"/>
  <c r="K53" i="18"/>
  <c r="E63" i="18"/>
  <c r="J63" i="18"/>
  <c r="M63" i="18"/>
  <c r="I53" i="18"/>
  <c r="N53" i="18"/>
  <c r="E53" i="18"/>
  <c r="J53" i="18"/>
  <c r="F63" i="18"/>
  <c r="K63" i="18"/>
  <c r="D22" i="18"/>
  <c r="N21" i="18" s="1"/>
  <c r="G53" i="18"/>
  <c r="M53" i="18"/>
  <c r="I63" i="18"/>
  <c r="N63" i="18"/>
  <c r="H31" i="18"/>
  <c r="G31" i="18"/>
  <c r="H53" i="18"/>
  <c r="H63" i="18"/>
  <c r="D24" i="15"/>
  <c r="C23" i="15"/>
  <c r="L21" i="18" l="1"/>
  <c r="K21" i="18"/>
  <c r="M21" i="18"/>
  <c r="J21" i="18"/>
  <c r="M31" i="18"/>
  <c r="J31" i="18"/>
  <c r="G21" i="18"/>
  <c r="H21" i="18"/>
  <c r="I21" i="18"/>
  <c r="F21" i="18"/>
  <c r="D56" i="18"/>
  <c r="J55" i="18" s="1"/>
  <c r="F31" i="18"/>
  <c r="K31" i="18"/>
  <c r="I31" i="18"/>
  <c r="E31" i="18" s="1"/>
  <c r="N31" i="18"/>
  <c r="D66" i="18"/>
  <c r="K65" i="18" s="1"/>
  <c r="L55" i="18"/>
  <c r="H55" i="18"/>
  <c r="M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F55" i="18" l="1"/>
  <c r="G55" i="18"/>
  <c r="I55" i="18"/>
  <c r="K55" i="18"/>
  <c r="L65" i="18"/>
  <c r="M65" i="18"/>
  <c r="I65" i="18"/>
  <c r="N65" i="18"/>
  <c r="H65" i="18"/>
  <c r="G65" i="18"/>
  <c r="E55" i="18"/>
  <c r="F65" i="18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E65" i="18" l="1"/>
  <c r="X11" i="7"/>
  <c r="G57" i="17"/>
  <c r="H57" i="17"/>
  <c r="I57" i="17"/>
  <c r="J57" i="17"/>
  <c r="K57" i="17"/>
  <c r="L57" i="17"/>
  <c r="M57" i="17"/>
  <c r="N57" i="17"/>
  <c r="H63" i="17"/>
  <c r="G53" i="17"/>
  <c r="J66" i="17"/>
  <c r="K66" i="17"/>
  <c r="L66" i="17"/>
  <c r="M66" i="17"/>
  <c r="N66" i="17"/>
  <c r="F67" i="17"/>
  <c r="G67" i="17"/>
  <c r="H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J70" i="17"/>
  <c r="K70" i="17"/>
  <c r="L70" i="17"/>
  <c r="M70" i="17"/>
  <c r="N70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I65" i="17" s="1"/>
  <c r="G65" i="17" l="1"/>
  <c r="K65" i="17"/>
  <c r="F65" i="17"/>
  <c r="H65" i="17"/>
  <c r="L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25" i="7" l="1"/>
  <c r="F12" i="7"/>
  <c r="F14" i="7"/>
  <c r="F16" i="7"/>
  <c r="F18" i="7"/>
  <c r="F20" i="7"/>
  <c r="F22" i="7"/>
  <c r="F24" i="7"/>
  <c r="L26" i="7"/>
  <c r="Q26" i="7" s="1"/>
  <c r="F26" i="7"/>
  <c r="F13" i="7"/>
  <c r="F15" i="7"/>
  <c r="F17" i="7"/>
  <c r="F19" i="7"/>
  <c r="F21" i="7"/>
  <c r="F23" i="7"/>
  <c r="L25" i="7"/>
  <c r="Q25" i="7" s="1"/>
  <c r="L16" i="7"/>
  <c r="L20" i="7"/>
  <c r="L24" i="7"/>
  <c r="N11" i="7"/>
  <c r="L11" i="7"/>
  <c r="H11" i="7"/>
  <c r="L14" i="7"/>
  <c r="L18" i="7"/>
  <c r="P11" i="7"/>
  <c r="L19" i="7"/>
  <c r="M11" i="7"/>
  <c r="L13" i="7"/>
  <c r="L17" i="7"/>
  <c r="L21" i="7"/>
  <c r="O11" i="7"/>
  <c r="J11" i="7"/>
  <c r="L22" i="7"/>
  <c r="K11" i="7"/>
  <c r="L15" i="7"/>
  <c r="L23" i="7"/>
  <c r="L12" i="7"/>
  <c r="I11" i="7"/>
  <c r="F11" i="7"/>
  <c r="M8" i="4"/>
  <c r="M7" i="4"/>
  <c r="D6" i="15"/>
  <c r="D6" i="7"/>
  <c r="Q18" i="7" l="1"/>
  <c r="Q13" i="7"/>
  <c r="Q15" i="7"/>
  <c r="Q11" i="7"/>
  <c r="Q20" i="7"/>
  <c r="Q12" i="7"/>
  <c r="Q16" i="7"/>
  <c r="Q21" i="7"/>
  <c r="Q22" i="7"/>
  <c r="Q19" i="7"/>
  <c r="Q14" i="7"/>
  <c r="Q17" i="7"/>
  <c r="Q23" i="7"/>
  <c r="Q2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<sst xmlns="http://schemas.openxmlformats.org/spreadsheetml/2006/main" count="1589" uniqueCount="864">
  <si>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</si>
  <si>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</si>
  <si>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</si>
  <si>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</si>
  <si>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</si>
  <si>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</si>
  <si>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</si>
  <si>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</si>
  <si>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</si>
  <si>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</si>
  <si>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</si>
  <si>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</si>
  <si>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</si>
  <si>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</si>
  <si>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</si>
  <si>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</si>
  <si>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</si>
  <si>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</si>
  <si>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</si>
  <si>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</si>
  <si>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</si>
  <si>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</si>
  <si>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</si>
  <si>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</si>
  <si>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</si>
  <si>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</si>
  <si>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</si>
  <si>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</si>
  <si>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</si>
  <si>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</si>
  <si>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</si>
  <si>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</si>
  <si>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</si>
  <si>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</si>
  <si>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</si>
  <si>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</si>
  <si>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</si>
  <si>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</si>
  <si>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</si>
  <si>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</si>
  <si>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</si>
  <si>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</si>
  <si>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</si>
  <si>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</si>
  <si>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</si>
  <si>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</si>
  <si>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</si>
  <si>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</si>
  <si>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</si>
  <si>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</si>
  <si>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</si>
  <si>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</si>
  <si>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</si>
  <si>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</si>
  <si>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</si>
  <si>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</si>
  <si>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</si>
  <si>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</si>
  <si>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</si>
  <si>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</si>
  <si>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</si>
  <si>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</si>
  <si>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</si>
  <si>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</si>
  <si>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</si>
  <si>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</si>
  <si>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</si>
  <si>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</si>
  <si>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</si>
  <si>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</si>
  <si>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</si>
  <si>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</si>
  <si>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</si>
  <si>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</si>
  <si>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</si>
  <si>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</si>
  <si>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</si>
  <si>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</si>
  <si>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</si>
  <si>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</si>
  <si>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</si>
  <si>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</si>
  <si>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</si>
  <si>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</si>
  <si>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</si>
  <si>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</si>
  <si>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</si>
  <si>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</si>
  <si>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</si>
  <si>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</si>
  <si>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</si>
  <si>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</si>
  <si>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</si>
  <si>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</si>
  <si>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</si>
  <si>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</si>
  <si>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</si>
  <si>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</si>
  <si>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</si>
  <si>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</si>
  <si>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</si>
  <si>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</si>
  <si>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</si>
  <si>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</si>
  <si>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</si>
  <si>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</si>
  <si>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</si>
  <si>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</si>
  <si>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</si>
  <si>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</si>
  <si>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</si>
  <si>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</si>
  <si>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</si>
  <si>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</si>
  <si>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</si>
  <si>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</si>
  <si>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</si>
  <si>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</si>
  <si>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</si>
  <si>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</si>
  <si>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</si>
  <si>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</si>
  <si>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</si>
  <si>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</si>
  <si>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</si>
  <si>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</si>
  <si>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</si>
  <si>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</si>
  <si>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</si>
  <si>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</si>
  <si>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</si>
  <si>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</si>
  <si>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</si>
  <si>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</si>
  <si>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</si>
  <si>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</si>
  <si>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</si>
  <si>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</si>
  <si>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</si>
  <si>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</si>
  <si>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</si>
  <si>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</si>
  <si>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</si>
  <si>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</si>
  <si>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</si>
  <si>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</si>
  <si>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</si>
  <si>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</si>
  <si>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</si>
  <si>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</si>
  <si>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</si>
  <si>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</si>
  <si>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</si>
  <si>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</si>
  <si>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</si>
  <si>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</si>
  <si>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</si>
  <si>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</si>
  <si>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</si>
  <si>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</si>
  <si>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</si>
  <si>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</si>
  <si>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</si>
  <si>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</si>
  <si>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</si>
  <si>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</si>
  <si>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</si>
  <si>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</si>
  <si>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</si>
  <si>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</si>
  <si>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</si>
  <si>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</si>
  <si>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</si>
  <si>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</si>
  <si>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</si>
  <si>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</si>
  <si>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</si>
  <si>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</si>
  <si>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</si>
  <si>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</si>
  <si>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</si>
  <si>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</si>
  <si>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</si>
  <si>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</si>
  <si>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</si>
  <si>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</si>
  <si>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</si>
  <si>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</si>
  <si>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</si>
  <si>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</si>
  <si>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</si>
  <si>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</si>
  <si>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</si>
  <si>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</si>
  <si>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</si>
  <si>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</si>
  <si>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</si>
  <si>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</si>
  <si>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</si>
  <si>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</si>
  <si>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</si>
  <si>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</si>
  <si>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</si>
  <si>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</si>
  <si>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</si>
  <si>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</si>
  <si>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</si>
  <si>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</si>
  <si>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</si>
  <si>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</si>
  <si>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</si>
  <si>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</si>
  <si>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</si>
  <si>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</si>
  <si>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</si>
  <si>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</si>
  <si>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</si>
  <si>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</si>
  <si>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</si>
  <si>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</si>
  <si>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</si>
  <si>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</si>
  <si>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</si>
  <si>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</si>
  <si>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</si>
  <si>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</si>
  <si>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</si>
  <si>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</si>
  <si>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</si>
  <si>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</si>
  <si>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</si>
  <si>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</si>
  <si>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</si>
  <si>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</si>
  <si>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</si>
  <si>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</si>
  <si>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</si>
  <si>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</si>
  <si>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</si>
  <si>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</si>
  <si>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</si>
  <si>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</si>
  <si>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</si>
  <si>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</si>
  <si>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</si>
  <si>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</si>
  <si>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</si>
  <si>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</si>
  <si>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</si>
  <si>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</si>
  <si>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</si>
  <si>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</si>
  <si>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</si>
  <si>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</si>
  <si>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</si>
  <si>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</si>
  <si>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</si>
  <si>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</si>
  <si>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</si>
  <si>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</si>
  <si>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</si>
  <si>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</si>
  <si>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</si>
  <si>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</si>
  <si>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</si>
  <si>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</si>
  <si>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</si>
  <si>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</si>
  <si>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</si>
  <si>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</si>
  <si>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</si>
  <si>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</si>
  <si>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</si>
  <si>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</si>
  <si>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</si>
  <si>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</si>
  <si>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</si>
  <si>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</si>
  <si>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</si>
  <si>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</si>
  <si>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</si>
  <si>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</si>
  <si>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</si>
  <si>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</si>
  <si>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</si>
  <si>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</si>
  <si>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</si>
  <si>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</si>
  <si>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</si>
  <si>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</si>
  <si>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</si>
  <si>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</si>
  <si>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</si>
  <si>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</si>
  <si>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</si>
  <si>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</si>
  <si>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</si>
  <si>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</si>
  <si>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</si>
  <si>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</si>
  <si>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</si>
  <si>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</si>
  <si>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</si>
  <si>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</si>
  <si>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</si>
  <si>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</si>
  <si>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</si>
  <si>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</si>
  <si>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</si>
  <si>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</si>
  <si>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</si>
  <si>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</si>
  <si>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</si>
  <si>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</si>
  <si>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</si>
  <si>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</si>
  <si>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</si>
  <si>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</si>
  <si>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</si>
  <si>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</si>
  <si>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</si>
  <si>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</si>
  <si>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</si>
  <si>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</si>
  <si>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</si>
  <si>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</si>
  <si>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</si>
  <si>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</si>
  <si>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</si>
  <si>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</si>
  <si>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</si>
  <si>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</si>
  <si>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</si>
  <si>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</si>
  <si>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</si>
  <si>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</si>
  <si>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</si>
  <si>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</si>
  <si>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</si>
  <si>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</si>
  <si>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</si>
  <si>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</si>
  <si>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</si>
  <si>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</si>
  <si>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</si>
  <si>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</si>
  <si>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</si>
  <si>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</si>
  <si>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</si>
  <si>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</si>
  <si>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</si>
  <si>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</si>
  <si>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</si>
  <si>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</si>
  <si>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</si>
  <si>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</si>
  <si>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</si>
  <si>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</si>
  <si>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</si>
  <si>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</si>
  <si>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</si>
  <si>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</si>
  <si>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</si>
  <si>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</si>
  <si>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</si>
  <si>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</si>
  <si>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</si>
  <si>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</si>
  <si>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</si>
  <si>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</si>
  <si>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</si>
  <si>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</si>
  <si>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</si>
  <si>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</si>
  <si>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</si>
  <si>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</si>
  <si>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</si>
  <si>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</si>
  <si>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</si>
  <si>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</si>
  <si>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</si>
  <si>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</si>
  <si>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</si>
  <si>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</si>
  <si>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</si>
  <si>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</si>
  <si>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</si>
  <si>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</si>
  <si>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</si>
  <si>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</si>
  <si>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</si>
  <si>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</si>
  <si>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</si>
  <si>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</si>
  <si>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</si>
  <si>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</si>
  <si>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</si>
  <si>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</si>
  <si>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</si>
  <si>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</si>
  <si>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</si>
  <si>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</si>
  <si>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</si>
  <si>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</si>
  <si>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</si>
  <si>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</si>
  <si>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</si>
  <si>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</si>
  <si>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</si>
  <si>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</si>
  <si>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</si>
  <si>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</si>
  <si>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</si>
  <si>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</si>
  <si>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</si>
  <si>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</si>
  <si>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</si>
  <si>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</si>
  <si>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</si>
  <si>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</si>
  <si>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</si>
  <si>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</si>
  <si>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</si>
  <si>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</si>
  <si>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</si>
  <si>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</si>
  <si>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</si>
  <si>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</si>
  <si>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</si>
  <si>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</si>
  <si>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</si>
  <si>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</si>
  <si>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</si>
  <si>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</si>
  <si>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</si>
  <si>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</si>
  <si>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</si>
  <si>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</si>
  <si>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</si>
  <si>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</si>
  <si>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</si>
  <si>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</si>
  <si>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</si>
  <si>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</si>
  <si>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</si>
  <si>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</si>
  <si>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</si>
  <si>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</si>
  <si>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</si>
  <si>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</si>
  <si>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</si>
  <si>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</si>
  <si>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</si>
  <si>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</si>
  <si>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</si>
  <si>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</si>
  <si>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</si>
  <si>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</si>
  <si>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</si>
  <si>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</si>
  <si>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</si>
  <si>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</si>
  <si>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</si>
  <si>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</si>
  <si>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</si>
  <si>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</si>
  <si>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</si>
  <si>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</si>
  <si>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</si>
  <si>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</si>
  <si>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</si>
  <si>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</si>
  <si>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</si>
  <si>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</si>
  <si>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</si>
  <si>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</si>
  <si>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</si>
  <si>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</si>
  <si>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</si>
  <si>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</si>
  <si>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</si>
  <si>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</si>
  <si>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</si>
  <si>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</si>
  <si>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</si>
  <si>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</si>
  <si>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</si>
  <si>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</si>
  <si>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</si>
  <si>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</si>
  <si>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</si>
  <si>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</si>
  <si>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</si>
  <si>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</si>
  <si>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</si>
  <si>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</si>
  <si>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</si>
  <si>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</si>
  <si>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</si>
  <si>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</si>
  <si>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</si>
  <si>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</si>
  <si>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</si>
  <si>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</si>
  <si>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</si>
  <si>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</si>
  <si>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</si>
  <si>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</si>
  <si>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</si>
  <si>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</si>
  <si>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</si>
  <si>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</si>
  <si>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</si>
  <si>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</si>
  <si>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</si>
  <si>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</si>
  <si>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</si>
  <si>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</si>
  <si>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</si>
  <si>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</si>
  <si>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</si>
  <si>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</si>
  <si>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</si>
  <si>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</si>
  <si>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</si>
  <si>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</si>
  <si>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</si>
  <si>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</si>
  <si>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</si>
  <si>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</si>
  <si>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</si>
  <si>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</si>
  <si>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</si>
  <si>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</si>
  <si>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</si>
  <si>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</si>
  <si>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</si>
  <si>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</si>
  <si>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</si>
  <si>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</si>
  <si>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</si>
  <si>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</si>
  <si>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</si>
  <si>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</si>
  <si>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</si>
  <si>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</si>
  <si>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</si>
  <si>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</si>
  <si>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</si>
  <si>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</si>
  <si>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</si>
  <si>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</si>
  <si>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</si>
  <si>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</si>
  <si>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</si>
  <si>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</si>
  <si>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</si>
  <si>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</si>
  <si>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</si>
  <si>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</si>
  <si>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</si>
  <si>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</si>
  <si>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</si>
  <si>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</si>
  <si>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</si>
  <si>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</si>
  <si>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</si>
  <si>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</si>
  <si>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</si>
  <si>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</si>
  <si>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</si>
  <si>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</si>
  <si>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</si>
  <si>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</si>
  <si>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</si>
  <si>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</si>
  <si>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</si>
  <si>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</si>
  <si>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</si>
  <si>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</si>
  <si>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</si>
  <si>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</si>
  <si>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</si>
  <si>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</si>
  <si>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</si>
  <si>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</si>
  <si>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</si>
  <si>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</si>
  <si>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</si>
  <si>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</si>
  <si>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</si>
  <si>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</si>
  <si>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</si>
  <si>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</si>
  <si>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</si>
  <si>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</si>
  <si>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</si>
  <si>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</si>
  <si>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</si>
  <si>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</si>
  <si>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</si>
  <si>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</si>
  <si>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</si>
  <si>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</si>
  <si>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</si>
  <si>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</si>
  <si>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</si>
  <si>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</si>
  <si>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</si>
  <si>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</si>
  <si>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</si>
  <si>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</si>
  <si>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</si>
  <si>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</si>
  <si>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</si>
  <si>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</si>
  <si>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</si>
  <si>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</si>
  <si>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</si>
  <si>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</si>
  <si>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</si>
  <si>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</si>
  <si>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</si>
  <si>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</si>
  <si>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</si>
  <si>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</si>
  <si>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</si>
  <si>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</si>
  <si>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</si>
  <si>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</si>
  <si>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</si>
  <si>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</si>
  <si>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</si>
  <si>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</si>
  <si>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</si>
  <si>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</si>
  <si>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</si>
  <si>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</si>
  <si>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</si>
  <si>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</si>
  <si>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</si>
  <si>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</si>
  <si>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</si>
  <si>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</si>
  <si>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</si>
  <si>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</si>
  <si>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</si>
  <si>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</si>
  <si>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</si>
  <si>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</si>
  <si>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</si>
  <si>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</si>
  <si>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</si>
  <si>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</si>
  <si>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</si>
  <si>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</si>
  <si>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Hannover</t>
  </si>
  <si>
    <t>Stefan Ebeling</t>
  </si>
  <si>
    <t>bilanzierung.gas@enercity-netz.de</t>
  </si>
  <si>
    <t>0511 - 430-5191</t>
  </si>
  <si>
    <t>DWD Hannover-Flughafen</t>
  </si>
  <si>
    <t>Hannover-Langenhagen</t>
  </si>
  <si>
    <t>GASPOOLNL7007541</t>
  </si>
  <si>
    <t>NCLN007007540000</t>
  </si>
  <si>
    <t>NCG und Gaspool ohne MGÜ</t>
  </si>
  <si>
    <t>Temp. hist. Ø (Monat)</t>
  </si>
  <si>
    <t>T(Allokation) = TSn(gew.Temp)</t>
  </si>
  <si>
    <t>Gewichte  G(Tn):</t>
  </si>
  <si>
    <t>Geom.-Reihe (gem. LF-SLP) Allokation</t>
  </si>
  <si>
    <t>Geom.-Reihe (gem. LF-SLP) Kundenwertermittlung</t>
  </si>
  <si>
    <t>Die Werte sind veröffentlicht im LRV,  Anlage 5.</t>
  </si>
  <si>
    <t>DE_GBA34</t>
  </si>
  <si>
    <t>DE_GBD34</t>
  </si>
  <si>
    <t>DE_GBH34</t>
  </si>
  <si>
    <t>DE_GGA34</t>
  </si>
  <si>
    <t>DE_GGB34</t>
  </si>
  <si>
    <t>DE_GHA34</t>
  </si>
  <si>
    <t>DE_GHD34</t>
  </si>
  <si>
    <t>DE_GMF34</t>
  </si>
  <si>
    <t>DE_GMK34</t>
  </si>
  <si>
    <t>DE_GPD34</t>
  </si>
  <si>
    <t>DE_GWA34</t>
  </si>
  <si>
    <t>DE_HEF34</t>
  </si>
  <si>
    <t>DE_HMF34</t>
  </si>
  <si>
    <t xml:space="preserve"> 0,3537640</t>
  </si>
  <si>
    <t>-33,350000</t>
  </si>
  <si>
    <t xml:space="preserve"> 5,7212303</t>
  </si>
  <si>
    <t xml:space="preserve">0,3033305 </t>
  </si>
  <si>
    <t xml:space="preserve"> 1,5175792</t>
  </si>
  <si>
    <t>-37,500000</t>
  </si>
  <si>
    <t xml:space="preserve"> 6,8000000</t>
  </si>
  <si>
    <t xml:space="preserve">0,0295801 </t>
  </si>
  <si>
    <t xml:space="preserve"> 0,9872585</t>
  </si>
  <si>
    <t>-35,253212</t>
  </si>
  <si>
    <t xml:space="preserve"> 6,0587001</t>
  </si>
  <si>
    <t xml:space="preserve">0,0793512 </t>
  </si>
  <si>
    <t xml:space="preserve"> 1,1848320</t>
  </si>
  <si>
    <t>-36,000000</t>
  </si>
  <si>
    <t xml:space="preserve"> 7,7368518</t>
  </si>
  <si>
    <t xml:space="preserve">0,0793107 </t>
  </si>
  <si>
    <t xml:space="preserve"> 1,6266812</t>
  </si>
  <si>
    <t>-37,882536</t>
  </si>
  <si>
    <t xml:space="preserve"> 6,9836070</t>
  </si>
  <si>
    <t xml:space="preserve">0,0297136 </t>
  </si>
  <si>
    <t xml:space="preserve"> 1,8398455</t>
  </si>
  <si>
    <t>-37,828203</t>
  </si>
  <si>
    <t xml:space="preserve"> 8,1593369</t>
  </si>
  <si>
    <t xml:space="preserve">0,0259710 </t>
  </si>
  <si>
    <t xml:space="preserve"> 1,2569600</t>
  </si>
  <si>
    <t>-36,607845</t>
  </si>
  <si>
    <t xml:space="preserve"> 7,3211870</t>
  </si>
  <si>
    <t xml:space="preserve">0,0776960 </t>
  </si>
  <si>
    <t xml:space="preserve"> 1,4256684</t>
  </si>
  <si>
    <t>-36,659050</t>
  </si>
  <si>
    <t xml:space="preserve"> 7,6083226</t>
  </si>
  <si>
    <t xml:space="preserve">0,0371116 </t>
  </si>
  <si>
    <t xml:space="preserve"> 1,0443538</t>
  </si>
  <si>
    <t>-35,033375</t>
  </si>
  <si>
    <t xml:space="preserve"> 6,2240634</t>
  </si>
  <si>
    <t xml:space="preserve">0,0502917 </t>
  </si>
  <si>
    <t xml:space="preserve"> 1,3284913</t>
  </si>
  <si>
    <t>-35,871506</t>
  </si>
  <si>
    <t xml:space="preserve"> 7,5186829</t>
  </si>
  <si>
    <t xml:space="preserve">0,0175540 </t>
  </si>
  <si>
    <t xml:space="preserve"> 1,8834609</t>
  </si>
  <si>
    <t>-37,000000</t>
  </si>
  <si>
    <t xml:space="preserve"> 10,2405021</t>
  </si>
  <si>
    <t xml:space="preserve">0,0275470 </t>
  </si>
  <si>
    <t xml:space="preserve"> 0,3925339</t>
  </si>
  <si>
    <t>-35,300000</t>
  </si>
  <si>
    <t xml:space="preserve"> 4,8662747</t>
  </si>
  <si>
    <t xml:space="preserve">0,3045099 </t>
  </si>
  <si>
    <t xml:space="preserve"> 1,3819663</t>
  </si>
  <si>
    <t>-37,412415</t>
  </si>
  <si>
    <t xml:space="preserve"> 6,1723179</t>
  </si>
  <si>
    <t xml:space="preserve">0,0396284 </t>
  </si>
  <si>
    <t xml:space="preserve"> 0,4040932</t>
  </si>
  <si>
    <t>-24,439296</t>
  </si>
  <si>
    <t xml:space="preserve"> 6,5718175</t>
  </si>
  <si>
    <t xml:space="preserve">0,7107710 </t>
  </si>
  <si>
    <t>-0,0177463</t>
  </si>
  <si>
    <t xml:space="preserve">0,6825699 </t>
  </si>
  <si>
    <t xml:space="preserve">0,5434624 </t>
  </si>
  <si>
    <t>-0,0788559</t>
  </si>
  <si>
    <t xml:space="preserve">1,2161250 </t>
  </si>
  <si>
    <t xml:space="preserve">0,0968721 </t>
  </si>
  <si>
    <t>-0,0495013</t>
  </si>
  <si>
    <t xml:space="preserve">0,9637999 </t>
  </si>
  <si>
    <t xml:space="preserve">0,2288398 </t>
  </si>
  <si>
    <t>-0,0687383</t>
  </si>
  <si>
    <t xml:space="preserve">1,1308570 </t>
  </si>
  <si>
    <t xml:space="preserve">0,1910301 </t>
  </si>
  <si>
    <t>-0,0854333</t>
  </si>
  <si>
    <t xml:space="preserve">1,2709629 </t>
  </si>
  <si>
    <t xml:space="preserve">0,0928124 </t>
  </si>
  <si>
    <t>-0,1069262</t>
  </si>
  <si>
    <t xml:space="preserve">1,4552240 </t>
  </si>
  <si>
    <t xml:space="preserve">0,0691851 </t>
  </si>
  <si>
    <t>-0,0696826</t>
  </si>
  <si>
    <t xml:space="preserve">1,1379702 </t>
  </si>
  <si>
    <t xml:space="preserve">0,1921068 </t>
  </si>
  <si>
    <t>-0,0809359</t>
  </si>
  <si>
    <t xml:space="preserve">1,2364527 </t>
  </si>
  <si>
    <t xml:space="preserve">0,1002979 </t>
  </si>
  <si>
    <t>-0,0535830</t>
  </si>
  <si>
    <t xml:space="preserve">0,9995901 </t>
  </si>
  <si>
    <t xml:space="preserve">0,1633299 </t>
  </si>
  <si>
    <t>-0,0758983</t>
  </si>
  <si>
    <t xml:space="preserve">1,1942555 </t>
  </si>
  <si>
    <t xml:space="preserve">0,0603337 </t>
  </si>
  <si>
    <t>-0,1253100</t>
  </si>
  <si>
    <t xml:space="preserve">1,6275999 </t>
  </si>
  <si>
    <t xml:space="preserve">0,0635119 </t>
  </si>
  <si>
    <t>-0,0167993</t>
  </si>
  <si>
    <t xml:space="preserve">0,6710889 </t>
  </si>
  <si>
    <t xml:space="preserve">0,5614623 </t>
  </si>
  <si>
    <t>-0,0672159</t>
  </si>
  <si>
    <t xml:space="preserve">1,1167138 </t>
  </si>
  <si>
    <t xml:space="preserve">0,1355070 </t>
  </si>
  <si>
    <t>0,0000000</t>
  </si>
  <si>
    <t>1,1211</t>
  </si>
  <si>
    <t>1,0769</t>
  </si>
  <si>
    <t>1,1353</t>
  </si>
  <si>
    <t>1,1402</t>
  </si>
  <si>
    <t>0,4852</t>
  </si>
  <si>
    <t>0,9565</t>
  </si>
  <si>
    <t>1,0857</t>
  </si>
  <si>
    <t>1,0378</t>
  </si>
  <si>
    <t>1,0622</t>
  </si>
  <si>
    <t>1,0266</t>
  </si>
  <si>
    <t>0,7629</t>
  </si>
  <si>
    <t>0,9196</t>
  </si>
  <si>
    <t>1,0389</t>
  </si>
  <si>
    <t>1,0028</t>
  </si>
  <si>
    <t>1,0162</t>
  </si>
  <si>
    <t>1,0024</t>
  </si>
  <si>
    <t>1,0043</t>
  </si>
  <si>
    <t>0,9587</t>
  </si>
  <si>
    <t>0,9894</t>
  </si>
  <si>
    <t>1,0033</t>
  </si>
  <si>
    <t>1,0109</t>
  </si>
  <si>
    <t>1,0180</t>
  </si>
  <si>
    <t>1,0356</t>
  </si>
  <si>
    <t>1,0106</t>
  </si>
  <si>
    <t>0,9627</t>
  </si>
  <si>
    <t>1,0507</t>
  </si>
  <si>
    <t>1,0552</t>
  </si>
  <si>
    <t>1,0297</t>
  </si>
  <si>
    <t>0,9767</t>
  </si>
  <si>
    <t>0,9353</t>
  </si>
  <si>
    <t>1,0232</t>
  </si>
  <si>
    <t>1,0252</t>
  </si>
  <si>
    <t>1,0295</t>
  </si>
  <si>
    <t>1,0253</t>
  </si>
  <si>
    <t>0,9675</t>
  </si>
  <si>
    <t>0,8935</t>
  </si>
  <si>
    <t>1,0300</t>
  </si>
  <si>
    <t>1,0200</t>
  </si>
  <si>
    <t>1,0100</t>
  </si>
  <si>
    <t>0,9300</t>
  </si>
  <si>
    <t>0,9500</t>
  </si>
  <si>
    <t>1,0523</t>
  </si>
  <si>
    <t>1,0449</t>
  </si>
  <si>
    <t>1,0494</t>
  </si>
  <si>
    <t>0,9885</t>
  </si>
  <si>
    <t>0,8860</t>
  </si>
  <si>
    <t>0,9435</t>
  </si>
  <si>
    <t>1,0365</t>
  </si>
  <si>
    <t>0,9933</t>
  </si>
  <si>
    <t>0,9948</t>
  </si>
  <si>
    <t>1,0659</t>
  </si>
  <si>
    <t>0,9362</t>
  </si>
  <si>
    <t>0,9034</t>
  </si>
  <si>
    <t xml:space="preserve"> 1,0866</t>
  </si>
  <si>
    <t xml:space="preserve"> 1,0720</t>
  </si>
  <si>
    <t xml:space="preserve"> 1,0557</t>
  </si>
  <si>
    <t xml:space="preserve"> 1,0117</t>
  </si>
  <si>
    <t xml:space="preserve"> 0,9001</t>
  </si>
  <si>
    <t xml:space="preserve"> 0,8525</t>
  </si>
  <si>
    <t>1,2615</t>
  </si>
  <si>
    <t>1,2707</t>
  </si>
  <si>
    <t>1,2430</t>
  </si>
  <si>
    <t>1,1276</t>
  </si>
  <si>
    <t>0,3877</t>
  </si>
  <si>
    <t>0,4638</t>
  </si>
  <si>
    <t>1,0000</t>
  </si>
  <si>
    <t>1,0848</t>
  </si>
  <si>
    <t>1,1052</t>
  </si>
  <si>
    <t>0,9322</t>
  </si>
  <si>
    <t>0,9897</t>
  </si>
  <si>
    <t>1,0358</t>
  </si>
  <si>
    <t>1,0354</t>
  </si>
  <si>
    <t>1,0699</t>
  </si>
  <si>
    <t xml:space="preserve"> 1,0214</t>
  </si>
  <si>
    <t>1,2457</t>
  </si>
  <si>
    <t xml:space="preserve"> für den Monat ermittelt in den Jahren 2010 - 2019. /Wetterstation wie oben.</t>
  </si>
  <si>
    <r>
      <rPr>
        <b/>
        <sz val="11"/>
        <color theme="1"/>
        <rFont val="Calibri"/>
        <family val="2"/>
        <scheme val="minor"/>
      </rPr>
      <t>Temp. hist. Ø (Periode), T</t>
    </r>
    <r>
      <rPr>
        <b/>
        <vertAlign val="subscript"/>
        <sz val="11"/>
        <color theme="1"/>
        <rFont val="Calibri"/>
        <family val="2"/>
        <scheme val="minor"/>
      </rPr>
      <t>Ø Periode</t>
    </r>
    <r>
      <rPr>
        <b/>
        <sz val="11"/>
        <color theme="1"/>
        <rFont val="Calibri"/>
        <family val="2"/>
        <scheme val="minor"/>
      </rPr>
      <t xml:space="preserve"> = T5:</t>
    </r>
    <r>
      <rPr>
        <sz val="11"/>
        <color theme="1"/>
        <rFont val="Calibri"/>
        <family val="2"/>
        <scheme val="minor"/>
      </rPr>
      <t xml:space="preserve"> Periodenmittel der Tagesmitteltemperaturen</t>
    </r>
  </si>
  <si>
    <r>
      <t xml:space="preserve">Temp. hist. </t>
    </r>
    <r>
      <rPr>
        <sz val="11"/>
        <rFont val="Arial"/>
        <family val="2"/>
      </rPr>
      <t>Ø (Periode)</t>
    </r>
  </si>
  <si>
    <t>2010-2019</t>
  </si>
  <si>
    <t>Temp. hist. Ø (Periode)</t>
  </si>
  <si>
    <t>enercity Flughafen Netz GmbH</t>
  </si>
  <si>
    <t>9907818000001</t>
  </si>
  <si>
    <t>Ihmeplatz 2</t>
  </si>
  <si>
    <t>Flughafen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</si>
</sst>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5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vertAlign val="subscript"/>
      <sz val="11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84">
    <xf numFmtId="0" fontId="0" fillId="0" borderId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2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4" fillId="0" borderId="1" applyNumberFormat="0" applyFill="0" applyAlignment="0" applyProtection="0"/>
    <xf numFmtId="0" fontId="37" fillId="0" borderId="33" applyNumberFormat="0" applyFill="0" applyAlignment="0" applyProtection="0"/>
    <xf numFmtId="0" fontId="5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2" fillId="0" borderId="0"/>
    <xf numFmtId="0" fontId="8" fillId="0" borderId="0"/>
    <xf numFmtId="0" fontId="32" fillId="0" borderId="0"/>
    <xf numFmtId="0" fontId="32" fillId="0" borderId="0"/>
    <xf numFmtId="0" fontId="5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</cellStyleXfs>
  <cellXfs count="363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2" fontId="0" fillId="33" borderId="17" xfId="0" applyNumberFormat="1" applyFon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6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2" fillId="0" borderId="0" xfId="3" applyNumberFormat="1" applyFont="1" applyFill="1" applyAlignment="1" applyProtection="1">
      <alignment horizontal="left"/>
      <protection hidden="1"/>
    </xf>
    <xf numFmtId="1" fontId="12" fillId="0" borderId="0" xfId="3" applyNumberFormat="1" applyFont="1" applyFill="1" applyAlignment="1" applyProtection="1">
      <protection hidden="1"/>
    </xf>
    <xf numFmtId="0" fontId="12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2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2" fillId="36" borderId="12" xfId="0" applyFont="1" applyFill="1" applyBorder="1" applyProtection="1"/>
    <xf numFmtId="194" fontId="0" fillId="72" borderId="78" xfId="0" applyNumberFormat="1" applyFont="1" applyFill="1" applyBorder="1" applyAlignment="1" applyProtection="1">
      <alignment horizontal="center" vertical="center"/>
    </xf>
    <xf numFmtId="193" fontId="0" fillId="72" borderId="54" xfId="0" applyNumberFormat="1" applyFont="1" applyFill="1" applyBorder="1" applyAlignment="1" applyProtection="1">
      <alignment horizontal="center" vertical="center"/>
    </xf>
    <xf numFmtId="169" fontId="0" fillId="71" borderId="79" xfId="0" applyNumberFormat="1" applyFont="1" applyFill="1" applyBorder="1" applyAlignment="1" applyProtection="1">
      <alignment horizontal="center" vertical="center"/>
      <protection locked="0"/>
    </xf>
    <xf numFmtId="193" fontId="0" fillId="71" borderId="73" xfId="0" applyNumberFormat="1" applyFont="1" applyFill="1" applyBorder="1" applyAlignment="1" applyProtection="1">
      <alignment horizontal="center" vertical="center"/>
      <protection locked="0"/>
    </xf>
    <xf numFmtId="184" fontId="0" fillId="71" borderId="73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Protection="1">
      <protection hidden="1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37" borderId="0" xfId="0" applyFont="1" applyFill="1" applyBorder="1" applyProtection="1"/>
    <xf numFmtId="0" fontId="0" fillId="37" borderId="12" xfId="0" applyFont="1" applyFill="1" applyBorder="1" applyProtection="1"/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  <xf numFmtId="49" fontId="12" fillId="0" borderId="0" xfId="3" applyNumberFormat="1" applyFont="1" applyFill="1" applyProtection="1">
      <protection hidden="1"/>
    </xf>
  </cellXfs>
  <cellStyles count="184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2 2 2" xfId="153" xr:uid="{00000000-0005-0000-0000-000003000000}"/>
    <cellStyle name="20 % - Akzent1 3" xfId="7" xr:uid="{00000000-0005-0000-0000-000004000000}"/>
    <cellStyle name="20 % - Akzent1 3 2" xfId="154" xr:uid="{00000000-0005-0000-0000-000005000000}"/>
    <cellStyle name="20 % - Akzent2 2" xfId="8" xr:uid="{00000000-0005-0000-0000-000006000000}"/>
    <cellStyle name="20 % - Akzent2 2 2" xfId="9" xr:uid="{00000000-0005-0000-0000-000007000000}"/>
    <cellStyle name="20 % - Akzent2 2 2 2" xfId="155" xr:uid="{00000000-0005-0000-0000-000008000000}"/>
    <cellStyle name="20 % - Akzent2 3" xfId="10" xr:uid="{00000000-0005-0000-0000-000009000000}"/>
    <cellStyle name="20 % - Akzent2 3 2" xfId="156" xr:uid="{00000000-0005-0000-0000-00000A000000}"/>
    <cellStyle name="20 % - Akzent3 2" xfId="11" xr:uid="{00000000-0005-0000-0000-00000B000000}"/>
    <cellStyle name="20 % - Akzent3 2 2" xfId="12" xr:uid="{00000000-0005-0000-0000-00000C000000}"/>
    <cellStyle name="20 % - Akzent3 2 2 2" xfId="157" xr:uid="{00000000-0005-0000-0000-00000D000000}"/>
    <cellStyle name="20 % - Akzent3 3" xfId="13" xr:uid="{00000000-0005-0000-0000-00000E000000}"/>
    <cellStyle name="20 % - Akzent3 3 2" xfId="158" xr:uid="{00000000-0005-0000-0000-00000F000000}"/>
    <cellStyle name="20 % - Akzent4 2" xfId="14" xr:uid="{00000000-0005-0000-0000-000010000000}"/>
    <cellStyle name="20 % - Akzent4 2 2" xfId="15" xr:uid="{00000000-0005-0000-0000-000011000000}"/>
    <cellStyle name="20 % - Akzent4 2 2 2" xfId="159" xr:uid="{00000000-0005-0000-0000-000012000000}"/>
    <cellStyle name="20 % - Akzent4 3" xfId="16" xr:uid="{00000000-0005-0000-0000-000013000000}"/>
    <cellStyle name="20 % - Akzent4 3 2" xfId="160" xr:uid="{00000000-0005-0000-0000-000014000000}"/>
    <cellStyle name="20 % - Akzent5 2" xfId="17" xr:uid="{00000000-0005-0000-0000-000015000000}"/>
    <cellStyle name="20 % - Akzent5 2 2" xfId="18" xr:uid="{00000000-0005-0000-0000-000016000000}"/>
    <cellStyle name="20 % - Akzent5 2 2 2" xfId="161" xr:uid="{00000000-0005-0000-0000-000017000000}"/>
    <cellStyle name="20 % - Akzent5 3" xfId="19" xr:uid="{00000000-0005-0000-0000-000018000000}"/>
    <cellStyle name="20 % - Akzent5 3 2" xfId="162" xr:uid="{00000000-0005-0000-0000-000019000000}"/>
    <cellStyle name="20 % - Akzent6 2" xfId="20" xr:uid="{00000000-0005-0000-0000-00001A000000}"/>
    <cellStyle name="20 % - Akzent6 2 2" xfId="21" xr:uid="{00000000-0005-0000-0000-00001B000000}"/>
    <cellStyle name="20 % - Akzent6 2 2 2" xfId="163" xr:uid="{00000000-0005-0000-0000-00001C000000}"/>
    <cellStyle name="20 % - Akzent6 3" xfId="22" xr:uid="{00000000-0005-0000-0000-00001D000000}"/>
    <cellStyle name="20 % - Akzent6 3 2" xfId="164" xr:uid="{00000000-0005-0000-0000-00001E000000}"/>
    <cellStyle name="40 % - Akzent1 2" xfId="23" xr:uid="{00000000-0005-0000-0000-00001F000000}"/>
    <cellStyle name="40 % - Akzent1 2 2" xfId="24" xr:uid="{00000000-0005-0000-0000-000020000000}"/>
    <cellStyle name="40 % - Akzent1 2 2 2" xfId="165" xr:uid="{00000000-0005-0000-0000-000021000000}"/>
    <cellStyle name="40 % - Akzent1 3" xfId="25" xr:uid="{00000000-0005-0000-0000-000022000000}"/>
    <cellStyle name="40 % - Akzent1 3 2" xfId="166" xr:uid="{00000000-0005-0000-0000-000023000000}"/>
    <cellStyle name="40 % - Akzent2 2" xfId="26" xr:uid="{00000000-0005-0000-0000-000024000000}"/>
    <cellStyle name="40 % - Akzent2 2 2" xfId="27" xr:uid="{00000000-0005-0000-0000-000025000000}"/>
    <cellStyle name="40 % - Akzent2 2 2 2" xfId="167" xr:uid="{00000000-0005-0000-0000-000026000000}"/>
    <cellStyle name="40 % - Akzent2 3" xfId="28" xr:uid="{00000000-0005-0000-0000-000027000000}"/>
    <cellStyle name="40 % - Akzent2 3 2" xfId="168" xr:uid="{00000000-0005-0000-0000-000028000000}"/>
    <cellStyle name="40 % - Akzent3 2" xfId="29" xr:uid="{00000000-0005-0000-0000-000029000000}"/>
    <cellStyle name="40 % - Akzent3 2 2" xfId="30" xr:uid="{00000000-0005-0000-0000-00002A000000}"/>
    <cellStyle name="40 % - Akzent3 2 2 2" xfId="169" xr:uid="{00000000-0005-0000-0000-00002B000000}"/>
    <cellStyle name="40 % - Akzent3 3" xfId="31" xr:uid="{00000000-0005-0000-0000-00002C000000}"/>
    <cellStyle name="40 % - Akzent3 3 2" xfId="170" xr:uid="{00000000-0005-0000-0000-00002D000000}"/>
    <cellStyle name="40 % - Akzent4 2" xfId="32" xr:uid="{00000000-0005-0000-0000-00002E000000}"/>
    <cellStyle name="40 % - Akzent4 2 2" xfId="33" xr:uid="{00000000-0005-0000-0000-00002F000000}"/>
    <cellStyle name="40 % - Akzent4 2 2 2" xfId="171" xr:uid="{00000000-0005-0000-0000-000030000000}"/>
    <cellStyle name="40 % - Akzent4 3" xfId="34" xr:uid="{00000000-0005-0000-0000-000031000000}"/>
    <cellStyle name="40 % - Akzent4 3 2" xfId="172" xr:uid="{00000000-0005-0000-0000-000032000000}"/>
    <cellStyle name="40 % - Akzent5 2" xfId="35" xr:uid="{00000000-0005-0000-0000-000033000000}"/>
    <cellStyle name="40 % - Akzent5 2 2" xfId="36" xr:uid="{00000000-0005-0000-0000-000034000000}"/>
    <cellStyle name="40 % - Akzent5 2 2 2" xfId="173" xr:uid="{00000000-0005-0000-0000-000035000000}"/>
    <cellStyle name="40 % - Akzent5 3" xfId="37" xr:uid="{00000000-0005-0000-0000-000036000000}"/>
    <cellStyle name="40 % - Akzent5 3 2" xfId="174" xr:uid="{00000000-0005-0000-0000-000037000000}"/>
    <cellStyle name="40 % - Akzent6 2" xfId="38" xr:uid="{00000000-0005-0000-0000-000038000000}"/>
    <cellStyle name="40 % - Akzent6 2 2" xfId="39" xr:uid="{00000000-0005-0000-0000-000039000000}"/>
    <cellStyle name="40 % - Akzent6 2 2 2" xfId="175" xr:uid="{00000000-0005-0000-0000-00003A000000}"/>
    <cellStyle name="40 % - Akzent6 3" xfId="40" xr:uid="{00000000-0005-0000-0000-00003B000000}"/>
    <cellStyle name="40 % - Akzent6 3 2" xfId="176" xr:uid="{00000000-0005-0000-0000-00003C000000}"/>
    <cellStyle name="60 % - Akzent1 2" xfId="41" xr:uid="{00000000-0005-0000-0000-00003D000000}"/>
    <cellStyle name="60 % - Akzent1 2 2" xfId="138" xr:uid="{00000000-0005-0000-0000-00003E000000}"/>
    <cellStyle name="60 % - Akzent2 2" xfId="42" xr:uid="{00000000-0005-0000-0000-00003F000000}"/>
    <cellStyle name="60 % - Akzent2 2 2" xfId="140" xr:uid="{00000000-0005-0000-0000-000040000000}"/>
    <cellStyle name="60 % - Akzent3 2" xfId="43" xr:uid="{00000000-0005-0000-0000-000041000000}"/>
    <cellStyle name="60 % - Akzent3 2 2" xfId="142" xr:uid="{00000000-0005-0000-0000-000042000000}"/>
    <cellStyle name="60 % - Akzent4 2" xfId="44" xr:uid="{00000000-0005-0000-0000-000043000000}"/>
    <cellStyle name="60 % - Akzent4 2 2" xfId="144" xr:uid="{00000000-0005-0000-0000-000044000000}"/>
    <cellStyle name="60 % - Akzent5 2" xfId="45" xr:uid="{00000000-0005-0000-0000-000045000000}"/>
    <cellStyle name="60 % - Akzent5 2 2" xfId="146" xr:uid="{00000000-0005-0000-0000-000046000000}"/>
    <cellStyle name="60 % - Akzent6 2" xfId="46" xr:uid="{00000000-0005-0000-0000-000047000000}"/>
    <cellStyle name="60 % - Akzent6 2 2" xfId="148" xr:uid="{00000000-0005-0000-0000-000048000000}"/>
    <cellStyle name="Akzent1 2" xfId="47" xr:uid="{00000000-0005-0000-0000-000049000000}"/>
    <cellStyle name="Akzent1 2 2" xfId="137" xr:uid="{00000000-0005-0000-0000-00004A000000}"/>
    <cellStyle name="Akzent2 2" xfId="48" xr:uid="{00000000-0005-0000-0000-00004B000000}"/>
    <cellStyle name="Akzent2 2 2" xfId="139" xr:uid="{00000000-0005-0000-0000-00004C000000}"/>
    <cellStyle name="Akzent3 2" xfId="49" xr:uid="{00000000-0005-0000-0000-00004D000000}"/>
    <cellStyle name="Akzent3 2 2" xfId="141" xr:uid="{00000000-0005-0000-0000-00004E000000}"/>
    <cellStyle name="Akzent4 2" xfId="50" xr:uid="{00000000-0005-0000-0000-00004F000000}"/>
    <cellStyle name="Akzent4 2 2" xfId="143" xr:uid="{00000000-0005-0000-0000-000050000000}"/>
    <cellStyle name="Akzent5 2" xfId="51" xr:uid="{00000000-0005-0000-0000-000051000000}"/>
    <cellStyle name="Akzent5 2 2" xfId="145" xr:uid="{00000000-0005-0000-0000-000052000000}"/>
    <cellStyle name="Akzent6 2" xfId="52" xr:uid="{00000000-0005-0000-0000-000053000000}"/>
    <cellStyle name="Akzent6 2 2" xfId="147" xr:uid="{00000000-0005-0000-0000-000054000000}"/>
    <cellStyle name="Ausgabe 2" xfId="53" xr:uid="{00000000-0005-0000-0000-000055000000}"/>
    <cellStyle name="Ausgabe 2 2" xfId="130" xr:uid="{00000000-0005-0000-0000-000056000000}"/>
    <cellStyle name="Berechnung 2" xfId="54" xr:uid="{00000000-0005-0000-0000-000057000000}"/>
    <cellStyle name="Berechnung 2 2" xfId="131" xr:uid="{00000000-0005-0000-0000-000058000000}"/>
    <cellStyle name="Comma [0]" xfId="55" xr:uid="{00000000-0005-0000-0000-000059000000}"/>
    <cellStyle name="Currency [0]" xfId="56" xr:uid="{00000000-0005-0000-0000-00005A000000}"/>
    <cellStyle name="Datum" xfId="57" xr:uid="{00000000-0005-0000-0000-00005B000000}"/>
    <cellStyle name="Datum [0]" xfId="58" xr:uid="{00000000-0005-0000-0000-00005C000000}"/>
    <cellStyle name="Eingabe 2" xfId="59" xr:uid="{00000000-0005-0000-0000-00005D000000}"/>
    <cellStyle name="Eingabe 2 2" xfId="129" xr:uid="{00000000-0005-0000-0000-00005E000000}"/>
    <cellStyle name="Ergebnis 2" xfId="60" xr:uid="{00000000-0005-0000-0000-00005F000000}"/>
    <cellStyle name="Ergebnis 2 2" xfId="136" xr:uid="{00000000-0005-0000-0000-000060000000}"/>
    <cellStyle name="Erklärender Text 2" xfId="61" xr:uid="{00000000-0005-0000-0000-000061000000}"/>
    <cellStyle name="Erklärender Text 2 2" xfId="135" xr:uid="{00000000-0005-0000-0000-000062000000}"/>
    <cellStyle name="Euro" xfId="62" xr:uid="{00000000-0005-0000-0000-000063000000}"/>
    <cellStyle name="Euro 2" xfId="111" xr:uid="{00000000-0005-0000-0000-000064000000}"/>
    <cellStyle name="Fest" xfId="63" xr:uid="{00000000-0005-0000-0000-000065000000}"/>
    <cellStyle name="Gut 2" xfId="64" xr:uid="{00000000-0005-0000-0000-000066000000}"/>
    <cellStyle name="Gut 2 2" xfId="126" xr:uid="{00000000-0005-0000-0000-000067000000}"/>
    <cellStyle name="Helv 08" xfId="65" xr:uid="{00000000-0005-0000-0000-000068000000}"/>
    <cellStyle name="Helv 12 fett" xfId="66" xr:uid="{00000000-0005-0000-0000-000069000000}"/>
    <cellStyle name="Helv 14 fett" xfId="67" xr:uid="{00000000-0005-0000-0000-00006A000000}"/>
    <cellStyle name="Helv 18 fett" xfId="68" xr:uid="{00000000-0005-0000-0000-00006B000000}"/>
    <cellStyle name="Komma" xfId="1" builtinId="3"/>
    <cellStyle name="Komma 2" xfId="69" xr:uid="{00000000-0005-0000-0000-00006D000000}"/>
    <cellStyle name="Komma 2 2" xfId="151" xr:uid="{00000000-0005-0000-0000-00006E000000}"/>
    <cellStyle name="Komma 3" xfId="70" xr:uid="{00000000-0005-0000-0000-00006F000000}"/>
    <cellStyle name="Kopfzeile1" xfId="71" xr:uid="{00000000-0005-0000-0000-000070000000}"/>
    <cellStyle name="Kopfzeile2" xfId="72" xr:uid="{00000000-0005-0000-0000-000071000000}"/>
    <cellStyle name="Link" xfId="152" builtinId="8"/>
    <cellStyle name="Neutral 2" xfId="73" xr:uid="{00000000-0005-0000-0000-000073000000}"/>
    <cellStyle name="Neutral 2 2" xfId="128" xr:uid="{00000000-0005-0000-0000-000074000000}"/>
    <cellStyle name="Notiz 2" xfId="74" xr:uid="{00000000-0005-0000-0000-000075000000}"/>
    <cellStyle name="Notiz 2 2" xfId="75" xr:uid="{00000000-0005-0000-0000-000076000000}"/>
    <cellStyle name="Notiz 2 2 2" xfId="177" xr:uid="{00000000-0005-0000-0000-000077000000}"/>
    <cellStyle name="Notiz 2 3" xfId="76" xr:uid="{00000000-0005-0000-0000-000078000000}"/>
    <cellStyle name="Notiz 2 3 2" xfId="178" xr:uid="{00000000-0005-0000-0000-000079000000}"/>
    <cellStyle name="Notiz 3" xfId="77" xr:uid="{00000000-0005-0000-0000-00007A000000}"/>
    <cellStyle name="Notiz 3 2" xfId="179" xr:uid="{00000000-0005-0000-0000-00007B000000}"/>
    <cellStyle name="Notiz 4" xfId="78" xr:uid="{00000000-0005-0000-0000-00007C000000}"/>
    <cellStyle name="Notiz 4 2" xfId="180" xr:uid="{00000000-0005-0000-0000-00007D000000}"/>
    <cellStyle name="Prozent 2" xfId="79" xr:uid="{00000000-0005-0000-0000-00007E000000}"/>
    <cellStyle name="Prozent 2 2" xfId="112" xr:uid="{00000000-0005-0000-0000-00007F000000}"/>
    <cellStyle name="Prozent 3" xfId="80" xr:uid="{00000000-0005-0000-0000-000080000000}"/>
    <cellStyle name="Prozent[1]" xfId="81" xr:uid="{00000000-0005-0000-0000-000081000000}"/>
    <cellStyle name="Prozent[2]" xfId="82" xr:uid="{00000000-0005-0000-0000-000082000000}"/>
    <cellStyle name="Schattiert" xfId="83" xr:uid="{00000000-0005-0000-0000-000083000000}"/>
    <cellStyle name="Schlecht 2" xfId="84" xr:uid="{00000000-0005-0000-0000-000084000000}"/>
    <cellStyle name="Schlecht 2 2" xfId="127" xr:uid="{00000000-0005-0000-0000-000085000000}"/>
    <cellStyle name="Standard" xfId="0" builtinId="0"/>
    <cellStyle name="Standard 2" xfId="85" xr:uid="{00000000-0005-0000-0000-000087000000}"/>
    <cellStyle name="Standard 2 2" xfId="3" xr:uid="{00000000-0005-0000-0000-000088000000}"/>
    <cellStyle name="Standard 2 2 2" xfId="119" xr:uid="{00000000-0005-0000-0000-000089000000}"/>
    <cellStyle name="Standard 2 2 3" xfId="114" xr:uid="{00000000-0005-0000-0000-00008A000000}"/>
    <cellStyle name="Standard 2 3" xfId="86" xr:uid="{00000000-0005-0000-0000-00008B000000}"/>
    <cellStyle name="Standard 2 4" xfId="118" xr:uid="{00000000-0005-0000-0000-00008C000000}"/>
    <cellStyle name="Standard 2 5" xfId="113" xr:uid="{00000000-0005-0000-0000-00008D000000}"/>
    <cellStyle name="Standard 3" xfId="87" xr:uid="{00000000-0005-0000-0000-00008E000000}"/>
    <cellStyle name="Standard 3 2" xfId="88" xr:uid="{00000000-0005-0000-0000-00008F000000}"/>
    <cellStyle name="Standard 3 2 2" xfId="89" xr:uid="{00000000-0005-0000-0000-000090000000}"/>
    <cellStyle name="Standard 3 2 2 2" xfId="121" xr:uid="{00000000-0005-0000-0000-000091000000}"/>
    <cellStyle name="Standard 3 3" xfId="90" xr:uid="{00000000-0005-0000-0000-000092000000}"/>
    <cellStyle name="Standard 3 3 2" xfId="120" xr:uid="{00000000-0005-0000-0000-000093000000}"/>
    <cellStyle name="Standard 3 4" xfId="115" xr:uid="{00000000-0005-0000-0000-000094000000}"/>
    <cellStyle name="Standard 3 4 2" xfId="182" xr:uid="{00000000-0005-0000-0000-000095000000}"/>
    <cellStyle name="Standard 4" xfId="91" xr:uid="{00000000-0005-0000-0000-000096000000}"/>
    <cellStyle name="Standard 4 2" xfId="92" xr:uid="{00000000-0005-0000-0000-000097000000}"/>
    <cellStyle name="Standard 4 2 2" xfId="149" xr:uid="{00000000-0005-0000-0000-000098000000}"/>
    <cellStyle name="Standard 4 2 2 2" xfId="183" xr:uid="{00000000-0005-0000-0000-000099000000}"/>
    <cellStyle name="Standard 4 3" xfId="181" xr:uid="{00000000-0005-0000-0000-00009A000000}"/>
    <cellStyle name="Standard 5" xfId="93" xr:uid="{00000000-0005-0000-0000-00009B000000}"/>
    <cellStyle name="Standard 5 2" xfId="150" xr:uid="{00000000-0005-0000-0000-00009C000000}"/>
    <cellStyle name="Standard 5 3" xfId="110" xr:uid="{00000000-0005-0000-0000-00009D000000}"/>
    <cellStyle name="Standard 6" xfId="117" xr:uid="{00000000-0005-0000-0000-00009E000000}"/>
    <cellStyle name="Summe" xfId="94" xr:uid="{00000000-0005-0000-0000-00009F000000}"/>
    <cellStyle name="test1" xfId="95" xr:uid="{00000000-0005-0000-0000-0000A0000000}"/>
    <cellStyle name="Überschrift" xfId="2" builtinId="15" customBuiltin="1"/>
    <cellStyle name="Überschrift 1 2" xfId="96" xr:uid="{00000000-0005-0000-0000-0000A2000000}"/>
    <cellStyle name="Überschrift 1 3" xfId="97" xr:uid="{00000000-0005-0000-0000-0000A3000000}"/>
    <cellStyle name="Überschrift 1 3 2" xfId="123" xr:uid="{00000000-0005-0000-0000-0000A4000000}"/>
    <cellStyle name="Überschrift 2 2" xfId="98" xr:uid="{00000000-0005-0000-0000-0000A5000000}"/>
    <cellStyle name="Überschrift 2 2 2" xfId="122" xr:uid="{00000000-0005-0000-0000-0000A6000000}"/>
    <cellStyle name="Überschrift 2 2 3" xfId="116" xr:uid="{00000000-0005-0000-0000-0000A7000000}"/>
    <cellStyle name="Überschrift 2 3" xfId="99" xr:uid="{00000000-0005-0000-0000-0000A8000000}"/>
    <cellStyle name="Überschrift 3 2" xfId="100" xr:uid="{00000000-0005-0000-0000-0000A9000000}"/>
    <cellStyle name="Überschrift 3 2 2" xfId="124" xr:uid="{00000000-0005-0000-0000-0000AA000000}"/>
    <cellStyle name="Überschrift 4 2" xfId="101" xr:uid="{00000000-0005-0000-0000-0000AB000000}"/>
    <cellStyle name="Überschrift 4 3" xfId="102" xr:uid="{00000000-0005-0000-0000-0000AC000000}"/>
    <cellStyle name="Überschrift 4 3 2" xfId="125" xr:uid="{00000000-0005-0000-0000-0000AD000000}"/>
    <cellStyle name="Überschrift 5" xfId="103" xr:uid="{00000000-0005-0000-0000-0000AE000000}"/>
    <cellStyle name="Undefiniert" xfId="104" xr:uid="{00000000-0005-0000-0000-0000AF000000}"/>
    <cellStyle name="verborgen" xfId="105" xr:uid="{00000000-0005-0000-0000-0000B0000000}"/>
    <cellStyle name="Verknüpfte Zelle 2" xfId="106" xr:uid="{00000000-0005-0000-0000-0000B1000000}"/>
    <cellStyle name="Verknüpfte Zelle 2 2" xfId="132" xr:uid="{00000000-0005-0000-0000-0000B2000000}"/>
    <cellStyle name="Whrung" xfId="107" xr:uid="{00000000-0005-0000-0000-0000B3000000}"/>
    <cellStyle name="Warnender Text 2" xfId="108" xr:uid="{00000000-0005-0000-0000-0000B4000000}"/>
    <cellStyle name="Warnender Text 2 2" xfId="134" xr:uid="{00000000-0005-0000-0000-0000B5000000}"/>
    <cellStyle name="Zelle überprüfen 2" xfId="109" xr:uid="{00000000-0005-0000-0000-0000B6000000}"/>
    <cellStyle name="Zelle überprüfen 2 2" xfId="133" xr:uid="{00000000-0005-0000-0000-0000B7000000}"/>
  </cellStyles>
  <dxfs count="6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5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4027329</xdr:colOff>
      <xdr:row>0</xdr:row>
      <xdr:rowOff>791210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2027079</xdr:colOff>
      <xdr:row>0</xdr:row>
      <xdr:rowOff>810895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598329</xdr:colOff>
      <xdr:row>0</xdr:row>
      <xdr:rowOff>791210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2027079</xdr:colOff>
      <xdr:row>0</xdr:row>
      <xdr:rowOff>810895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788035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288258</xdr:colOff>
      <xdr:row>39</xdr:row>
      <xdr:rowOff>4117</xdr:rowOff>
    </xdr:from>
    <xdr:to>
      <xdr:col>14</xdr:col>
      <xdr:colOff>2190750</xdr:colOff>
      <xdr:row>45</xdr:row>
      <xdr:rowOff>134283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779365" y="8821546"/>
          <a:ext cx="3698635" cy="13139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80" zoomScaleNormal="80" workbookViewId="0">
      <selection activeCell="A32" sqref="A32"/>
    </sheetView>
  </sheetViews>
  <sheetFormatPr baseColWidth="10" defaultColWidth="0" defaultRowHeight="14.5" zeroHeight="1"/>
  <cols>
    <col min="1" max="1" width="2.81640625" customWidth="1"/>
    <col min="2" max="15" width="11.453125" customWidth="1"/>
    <col min="16" max="16384" width="11.453125" hidden="1"/>
  </cols>
  <sheetData>
    <row r="1" spans="2:7" ht="75.75" customHeight="1"/>
    <row r="2" spans="2:7" ht="23.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zoomScale="80" zoomScaleNormal="80" workbookViewId="0">
      <selection activeCell="D5" sqref="D5"/>
    </sheetView>
  </sheetViews>
  <sheetFormatPr baseColWidth="10" defaultColWidth="0" defaultRowHeight="14.5" zeroHeight="1"/>
  <cols>
    <col min="1" max="1" width="2.81640625" style="8" customWidth="1"/>
    <col min="2" max="2" width="5.81640625" style="2" customWidth="1"/>
    <col min="3" max="3" width="65" customWidth="1"/>
    <col min="4" max="4" width="49.1796875" customWidth="1"/>
    <col min="5" max="5" width="11.453125" customWidth="1"/>
    <col min="6" max="6" width="75.7265625" hidden="1" customWidth="1"/>
    <col min="7" max="16384" width="11.453125" hidden="1"/>
  </cols>
  <sheetData>
    <row r="1" spans="1:8" s="8" customFormat="1" ht="75.75" customHeight="1"/>
    <row r="2" spans="1:8" s="8" customFormat="1" ht="23.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44927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44927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860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861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862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30449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656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657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658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659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Flughafen</v>
      </c>
      <c r="E28" s="38"/>
      <c r="F28" s="11"/>
      <c r="G28" s="2"/>
    </row>
    <row r="29" spans="1:15">
      <c r="B29" s="15"/>
      <c r="C29" s="22" t="s">
        <v>396</v>
      </c>
      <c r="D29" s="45" t="s">
        <v>863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59" priority="2">
      <formula>IF(CELL("Zeile",D29)&lt;$D$25+CELL("Zeile",$D$29),1,0)</formula>
    </cfRule>
  </conditionalFormatting>
  <conditionalFormatting sqref="D30:D48">
    <cfRule type="expression" dxfId="58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hyperlinks>
    <hyperlink ref="D21" r:id="rId1" display="max.mustermann@muster.de" xr:uid="{00000000-0004-0000-0100-000000000000}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XFC62"/>
  <sheetViews>
    <sheetView showGridLines="0" zoomScale="80" zoomScaleNormal="80" workbookViewId="0">
      <selection activeCell="D11" sqref="D11"/>
    </sheetView>
  </sheetViews>
  <sheetFormatPr baseColWidth="10" defaultColWidth="0" defaultRowHeight="18" customHeight="1"/>
  <cols>
    <col min="1" max="1" width="2.81640625" style="8" customWidth="1"/>
    <col min="2" max="2" width="5.81640625" style="8" customWidth="1"/>
    <col min="3" max="3" width="51.453125" style="8" customWidth="1"/>
    <col min="4" max="4" width="33.1796875" style="8" customWidth="1"/>
    <col min="5" max="5" width="28" style="8" customWidth="1"/>
    <col min="6" max="39" width="8.81640625" style="13" hidden="1"/>
    <col min="40" max="16383" width="8.81640625" style="8" hidden="1"/>
    <col min="16384" max="16384" width="10" style="8" hidden="1"/>
  </cols>
  <sheetData>
    <row r="1" spans="2:15" ht="75" customHeight="1"/>
    <row r="2" spans="2:15" ht="23.5">
      <c r="B2" s="9" t="s">
        <v>269</v>
      </c>
    </row>
    <row r="3" spans="2:15" ht="14.5"/>
    <row r="4" spans="2:15" ht="14.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enercity Flughafen Netz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Flughafen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9907818000001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44927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 t="s">
        <v>664</v>
      </c>
    </row>
    <row r="12" spans="2:15" ht="15" customHeight="1">
      <c r="B12" s="22"/>
      <c r="C12" s="5"/>
      <c r="D12" s="15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618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 t="s">
        <v>662</v>
      </c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619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13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 t="s">
        <v>660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5">
    <cfRule type="expression" dxfId="57" priority="21">
      <formula>IF($D$11="Gaspool",1,0)</formula>
    </cfRule>
  </conditionalFormatting>
  <conditionalFormatting sqref="D16">
    <cfRule type="expression" dxfId="56" priority="18">
      <formula>IF($D$11="NCG",1,0)</formula>
    </cfRule>
  </conditionalFormatting>
  <conditionalFormatting sqref="D48:D62">
    <cfRule type="expression" dxfId="55" priority="17">
      <formula>IF(CELL("Zeile",D48)&lt;$D$46+CELL("Zeile",$D$48),1,0)</formula>
    </cfRule>
  </conditionalFormatting>
  <conditionalFormatting sqref="D49:D62">
    <cfRule type="expression" dxfId="54" priority="16">
      <formula>IF(CELL(D49)&lt;$D$36+27,1,0)</formula>
    </cfRule>
  </conditionalFormatting>
  <conditionalFormatting sqref="D23">
    <cfRule type="expression" dxfId="53" priority="15">
      <formula>IF($D$22=$H$22,1,0)</formula>
    </cfRule>
  </conditionalFormatting>
  <conditionalFormatting sqref="D31">
    <cfRule type="expression" dxfId="52" priority="4">
      <formula>IF($D$18="synthetisch",1,0)</formula>
    </cfRule>
  </conditionalFormatting>
  <conditionalFormatting sqref="D28">
    <cfRule type="expression" dxfId="51" priority="2">
      <formula>IF(AND($D$27=$I$27,$D$26=$H$26),1,0)</formula>
    </cfRule>
  </conditionalFormatting>
  <conditionalFormatting sqref="D26:D28">
    <cfRule type="expression" dxfId="50" priority="5">
      <formula>IF($D$18="analytisch",1,0)</formula>
    </cfRule>
  </conditionalFormatting>
  <conditionalFormatting sqref="D27">
    <cfRule type="expression" dxfId="49" priority="3">
      <formula>IF($D$26="nein",1)</formula>
    </cfRule>
  </conditionalFormatting>
  <dataValidations count="10">
    <dataValidation type="list" allowBlank="1" showInputMessage="1" showErrorMessage="1" sqref="D18" xr:uid="{00000000-0002-0000-0200-000000000000}">
      <formula1>$H$18:$I$18</formula1>
    </dataValidation>
    <dataValidation type="whole" allowBlank="1" showInputMessage="1" showErrorMessage="1" sqref="D35" xr:uid="{00000000-0002-0000-0200-000001000000}">
      <formula1>1</formula1>
      <formula2>200</formula2>
    </dataValidation>
    <dataValidation type="list" allowBlank="1" showInputMessage="1" showErrorMessage="1" sqref="D46" xr:uid="{00000000-0002-0000-0200-000002000000}">
      <formula1>$H$46:$V$46</formula1>
    </dataValidation>
    <dataValidation type="list" allowBlank="1" showInputMessage="1" showErrorMessage="1" sqref="D22" xr:uid="{00000000-0002-0000-0200-000003000000}">
      <formula1>$H$22:$I$22</formula1>
    </dataValidation>
    <dataValidation type="list" allowBlank="1" showInputMessage="1" showErrorMessage="1" sqref="D23" xr:uid="{00000000-0002-0000-0200-000004000000}">
      <formula1>$H$24:$I$24</formula1>
    </dataValidation>
    <dataValidation type="list" allowBlank="1" showInputMessage="1" showErrorMessage="1" sqref="D11" xr:uid="{00000000-0002-0000-0200-000005000000}">
      <formula1>$H$11:$K$11</formula1>
    </dataValidation>
    <dataValidation type="list" allowBlank="1" showInputMessage="1" showErrorMessage="1" sqref="D13" xr:uid="{00000000-0002-0000-0200-000006000000}">
      <formula1>$H$13:$I$13</formula1>
    </dataValidation>
    <dataValidation type="list" allowBlank="1" showInputMessage="1" showErrorMessage="1" sqref="D27" xr:uid="{00000000-0002-0000-0200-000007000000}">
      <formula1>$H$27:$J$27</formula1>
    </dataValidation>
    <dataValidation type="list" allowBlank="1" showInputMessage="1" showErrorMessage="1" sqref="D26" xr:uid="{00000000-0002-0000-0200-000008000000}">
      <formula1>$H$26:$I$26</formula1>
    </dataValidation>
    <dataValidation type="list" allowBlank="1" showInputMessage="1" showErrorMessage="1" sqref="D31" xr:uid="{00000000-0002-0000-0200-000009000000}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BD78"/>
  <sheetViews>
    <sheetView showGridLines="0" tabSelected="1" zoomScale="70" zoomScaleNormal="70" workbookViewId="0">
      <selection activeCell="E7" sqref="E7"/>
    </sheetView>
  </sheetViews>
  <sheetFormatPr baseColWidth="10" defaultColWidth="1" defaultRowHeight="14.5" zeroHeight="1"/>
  <cols>
    <col min="1" max="1" width="2.81640625" style="128" customWidth="1"/>
    <col min="2" max="2" width="5.453125" style="128" customWidth="1"/>
    <col min="3" max="3" width="55.1796875" style="128" customWidth="1"/>
    <col min="4" max="4" width="12.54296875" style="128" customWidth="1"/>
    <col min="5" max="9" width="12.7265625" style="128" customWidth="1"/>
    <col min="10" max="14" width="9" style="128" customWidth="1"/>
    <col min="15" max="15" width="34.1796875" style="128" customWidth="1"/>
    <col min="16" max="16" width="7.26953125" style="170" customWidth="1"/>
    <col min="17" max="18" width="7.26953125" style="208" customWidth="1"/>
    <col min="19" max="19" width="13.453125" style="208" customWidth="1"/>
    <col min="20" max="20" width="23.54296875" style="208" customWidth="1"/>
    <col min="21" max="21" width="5.453125" style="208" customWidth="1"/>
    <col min="22" max="22" width="5" style="208" customWidth="1"/>
    <col min="23" max="23" width="5.26953125" style="208" customWidth="1"/>
    <col min="24" max="24" width="5" style="208" customWidth="1"/>
    <col min="25" max="25" width="8.1796875" style="208" customWidth="1"/>
    <col min="26" max="26" width="11.7265625" style="208" customWidth="1"/>
    <col min="27" max="27" width="8.81640625" style="208" customWidth="1"/>
    <col min="28" max="28" width="11" style="208" customWidth="1"/>
    <col min="29" max="29" width="11" style="57" customWidth="1"/>
    <col min="30" max="36" width="4" style="57" customWidth="1"/>
    <col min="37" max="37" width="4.453125" style="57" customWidth="1"/>
    <col min="38" max="38" width="4" style="57" customWidth="1"/>
    <col min="39" max="47" width="4.453125" style="57" customWidth="1"/>
    <col min="48" max="48" width="4" style="57" customWidth="1"/>
    <col min="49" max="16382" width="1" style="57"/>
    <col min="16383" max="16383" width="4.81640625" style="57" customWidth="1"/>
    <col min="16384" max="16384" width="4.453125" style="57" customWidth="1"/>
  </cols>
  <sheetData>
    <row r="1" spans="2:56" ht="75" customHeight="1"/>
    <row r="2" spans="2:56" ht="23.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enercity Flughafen Netz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Flughafen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62" t="str">
        <f>Netzbetreiber!D11</f>
        <v>9907818000001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44927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 t="str">
        <f>INDEX('SLP-Verfahren'!D48:D62,'SLP-Temp-Gebiet #01'!F10)</f>
        <v>DWD Hannover-Flughafen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7" t="s">
        <v>585</v>
      </c>
      <c r="D13" s="347"/>
      <c r="E13" s="347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8" t="s">
        <v>450</v>
      </c>
      <c r="D14" s="348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8" t="s">
        <v>388</v>
      </c>
      <c r="D15" s="348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/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0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/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/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661</v>
      </c>
      <c r="F24" s="156"/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10338</v>
      </c>
      <c r="F25" s="160"/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5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1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0.32000000000000006</v>
      </c>
      <c r="F31" s="280">
        <f>ROUND(F32/$D$32,4)</f>
        <v>0.16</v>
      </c>
      <c r="G31" s="280">
        <f t="shared" ref="G31:N31" si="3">ROUND(G32/$D$32,4)</f>
        <v>0.08</v>
      </c>
      <c r="H31" s="280">
        <f t="shared" si="3"/>
        <v>0.04</v>
      </c>
      <c r="I31" s="280">
        <f t="shared" si="3"/>
        <v>0.4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1.8749999999999998</v>
      </c>
      <c r="E32" s="344">
        <f>1*0.6</f>
        <v>0.6</v>
      </c>
      <c r="F32" s="344">
        <f>0.5*0.6</f>
        <v>0.3</v>
      </c>
      <c r="G32" s="344">
        <f>0.25*0.6</f>
        <v>0.15</v>
      </c>
      <c r="H32" s="344">
        <f>0.125*0.6</f>
        <v>7.4999999999999997E-2</v>
      </c>
      <c r="I32" s="342">
        <v>0.75</v>
      </c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9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343" t="s">
        <v>858</v>
      </c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  <c r="AC33" s="57" t="s">
        <v>858</v>
      </c>
    </row>
    <row r="34" spans="2:29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343" t="s">
        <v>513</v>
      </c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9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9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 t="s">
        <v>665</v>
      </c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341" t="s">
        <v>857</v>
      </c>
      <c r="U36" s="67"/>
      <c r="V36" s="67"/>
      <c r="W36" s="67"/>
      <c r="X36" s="67"/>
      <c r="Y36" s="67"/>
      <c r="Z36" s="67"/>
      <c r="AA36" s="67"/>
      <c r="AB36" s="67"/>
    </row>
    <row r="37" spans="2:29" ht="1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9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9">
      <c r="B39" s="192"/>
      <c r="C39" s="196" t="s">
        <v>350</v>
      </c>
      <c r="D39" s="197"/>
      <c r="E39" s="197" t="s">
        <v>666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9">
      <c r="B40" s="192"/>
      <c r="C40" s="196"/>
      <c r="D40" s="197"/>
      <c r="E40" s="197" t="s">
        <v>530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9">
      <c r="B41" s="192"/>
      <c r="C41" s="196"/>
      <c r="D41" s="197"/>
      <c r="E41" s="197" t="s">
        <v>531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9" ht="16.5">
      <c r="B42" s="192"/>
      <c r="C42" s="199"/>
      <c r="D42" s="197"/>
      <c r="E42" s="345" t="s">
        <v>856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9">
      <c r="B43" s="192"/>
      <c r="C43" s="199"/>
      <c r="D43" s="197"/>
      <c r="E43" s="345" t="s">
        <v>855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9">
      <c r="B44" s="192"/>
      <c r="C44" s="199"/>
      <c r="D44" s="197"/>
      <c r="E44" s="197" t="s">
        <v>670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9">
      <c r="B45" s="192"/>
      <c r="C45" s="196" t="s">
        <v>667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9">
      <c r="B46" s="192"/>
      <c r="C46" s="346" t="s">
        <v>668</v>
      </c>
      <c r="D46" s="200" t="s">
        <v>535</v>
      </c>
      <c r="E46" s="287">
        <v>0.6</v>
      </c>
      <c r="F46" s="287">
        <v>0.3</v>
      </c>
      <c r="G46" s="287">
        <v>0.15</v>
      </c>
      <c r="H46" s="287">
        <v>7.4999999999999997E-2</v>
      </c>
      <c r="I46" s="287">
        <v>0.75</v>
      </c>
      <c r="J46" s="345"/>
      <c r="K46" s="197"/>
      <c r="L46" s="197"/>
      <c r="M46" s="197"/>
      <c r="N46" s="197"/>
      <c r="O46" s="198"/>
    </row>
    <row r="47" spans="2:29">
      <c r="B47" s="192"/>
      <c r="C47" s="199" t="s">
        <v>669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345"/>
      <c r="K47" s="197"/>
      <c r="L47" s="197"/>
      <c r="M47" s="197"/>
      <c r="N47" s="197"/>
      <c r="O47" s="198"/>
    </row>
    <row r="48" spans="2:29" ht="1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0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0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>
        <f t="shared" ref="F57:N57" si="7">F23</f>
        <v>0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Hannover-Langenhagen</v>
      </c>
      <c r="F58" s="156">
        <f t="shared" ref="F58:N58" si="8">F24</f>
        <v>0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10338</v>
      </c>
      <c r="F59" s="160">
        <f t="shared" ref="F59:N59" si="9">F25</f>
        <v>0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v>5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1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v>1</v>
      </c>
      <c r="F66" s="288">
        <v>0.5</v>
      </c>
      <c r="G66" s="288">
        <v>0.25</v>
      </c>
      <c r="H66" s="288">
        <v>0.125</v>
      </c>
      <c r="I66" s="288">
        <v>0</v>
      </c>
      <c r="J66" s="288">
        <f t="shared" ref="J66:N66" si="13">J32</f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 t="s">
        <v>858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 t="str">
        <f t="shared" si="15"/>
        <v>Gastag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 t="s">
        <v>859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9" t="s">
        <v>581</v>
      </c>
      <c r="D72" s="349"/>
      <c r="E72" s="349"/>
      <c r="F72" s="349"/>
    </row>
    <row r="73" spans="2:15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47" priority="28">
      <formula>IF(E$20&lt;=$F$18,1,0)</formula>
    </cfRule>
  </conditionalFormatting>
  <conditionalFormatting sqref="E32:N36">
    <cfRule type="expression" dxfId="46" priority="27">
      <formula>IF(E$30&lt;=$F$28,1,0)</formula>
    </cfRule>
  </conditionalFormatting>
  <conditionalFormatting sqref="E26:F26">
    <cfRule type="expression" dxfId="45" priority="26">
      <formula>IF(E$20&lt;=$F$18,1,0)</formula>
    </cfRule>
  </conditionalFormatting>
  <conditionalFormatting sqref="E26:N26">
    <cfRule type="expression" dxfId="44" priority="25">
      <formula>IF(E$20&lt;=$F$18,1,0)</formula>
    </cfRule>
  </conditionalFormatting>
  <conditionalFormatting sqref="E56:N59">
    <cfRule type="expression" dxfId="43" priority="22">
      <formula>IF(E$54&lt;=$F$52,1,0)</formula>
    </cfRule>
  </conditionalFormatting>
  <conditionalFormatting sqref="E60:N60">
    <cfRule type="expression" dxfId="42" priority="21">
      <formula>IF(E$54&lt;=$F$52,1,0)</formula>
    </cfRule>
  </conditionalFormatting>
  <conditionalFormatting sqref="E66:N68">
    <cfRule type="expression" dxfId="41" priority="15">
      <formula>IF(E$64&lt;=$F$62,1,0)</formula>
    </cfRule>
  </conditionalFormatting>
  <conditionalFormatting sqref="E65:N68 E70:N70">
    <cfRule type="expression" dxfId="40" priority="13">
      <formula>IF(E$64&gt;$F$62,1,0)</formula>
    </cfRule>
  </conditionalFormatting>
  <conditionalFormatting sqref="E56:N60">
    <cfRule type="expression" dxfId="39" priority="12">
      <formula>IF(E$54&gt;$F$52,1,0)</formula>
    </cfRule>
  </conditionalFormatting>
  <conditionalFormatting sqref="E21:N26">
    <cfRule type="expression" dxfId="38" priority="11">
      <formula>IF(E$20&gt;$F$18,1,0)</formula>
    </cfRule>
  </conditionalFormatting>
  <conditionalFormatting sqref="E32:N36">
    <cfRule type="expression" dxfId="37" priority="10">
      <formula>IF(E$30&gt;$F$28,1,0)</formula>
    </cfRule>
  </conditionalFormatting>
  <conditionalFormatting sqref="H11 H8:H9">
    <cfRule type="expression" dxfId="36" priority="9">
      <formula>IF($F$9=1,1,0)</formula>
    </cfRule>
  </conditionalFormatting>
  <conditionalFormatting sqref="E55:N55">
    <cfRule type="expression" dxfId="35" priority="8">
      <formula>IF(E$54&gt;$F$52,1,0)</formula>
    </cfRule>
  </conditionalFormatting>
  <conditionalFormatting sqref="E31:N31">
    <cfRule type="expression" dxfId="34" priority="7">
      <formula>IF(E$30&gt;$F$28,1,0)</formula>
    </cfRule>
  </conditionalFormatting>
  <conditionalFormatting sqref="E70:N70">
    <cfRule type="expression" dxfId="33" priority="6">
      <formula>IF(E$64&lt;=$F$62,1,0)</formula>
    </cfRule>
  </conditionalFormatting>
  <conditionalFormatting sqref="H10">
    <cfRule type="expression" dxfId="32" priority="5">
      <formula>IF($F$9=1,1,0)</formula>
    </cfRule>
  </conditionalFormatting>
  <conditionalFormatting sqref="E69:N69">
    <cfRule type="expression" dxfId="31" priority="2">
      <formula>IF(E$64&lt;=$F$62,1,0)</formula>
    </cfRule>
  </conditionalFormatting>
  <conditionalFormatting sqref="E69:N69">
    <cfRule type="expression" dxfId="30" priority="1">
      <formula>IF(E$64&gt;$F$62,1,0)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6:N36 E70:N70" xr:uid="{00000000-0002-0000-0300-000001000000}">
      <formula1>$R$36:$T$36</formula1>
    </dataValidation>
    <dataValidation type="list" allowBlank="1" showInputMessage="1" showErrorMessage="1" sqref="E26:N26 E60:N60" xr:uid="{00000000-0002-0000-0300-000002000000}">
      <formula1>$R$26:$S$26</formula1>
    </dataValidation>
    <dataValidation type="list" allowBlank="1" showInputMessage="1" showErrorMessage="1" errorTitle="Prognosezeitraum" error="Werte zwischen 0 - 240h" sqref="J67:N67 E67:H67 E33:H33 J33:N33" xr:uid="{00000000-0002-0000-0300-000003000000}">
      <formula1>$R$33:$AB$33</formula1>
    </dataValidation>
    <dataValidation type="list" allowBlank="1" showInputMessage="1" showErrorMessage="1" sqref="E68:N68 E34:N34" xr:uid="{00000000-0002-0000-0300-000004000000}">
      <formula1>$R$34:$S$34</formula1>
    </dataValidation>
    <dataValidation type="list" allowBlank="1" showInputMessage="1" showErrorMessage="1" sqref="E23:N23 E57:N57" xr:uid="{00000000-0002-0000-0300-000005000000}">
      <formula1>$R$23:$T$23</formula1>
    </dataValidation>
    <dataValidation type="list" allowBlank="1" showInputMessage="1" showErrorMessage="1" sqref="F52" xr:uid="{00000000-0002-0000-0300-000006000000}">
      <formula1>$E$54:$N$54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8" xr:uid="{00000000-0002-0000-0300-000008000000}">
      <formula1>$E$30:$N$30</formula1>
    </dataValidation>
    <dataValidation type="list" allowBlank="1" showInputMessage="1" showErrorMessage="1" sqref="F62" xr:uid="{00000000-0002-0000-0300-000009000000}">
      <formula1>$E$64:$N$64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5:N35 E69:N69" xr:uid="{00000000-0002-0000-0300-00000C000000}">
      <formula1>$R$35:$S$35</formula1>
    </dataValidation>
    <dataValidation type="list" allowBlank="1" showInputMessage="1" showErrorMessage="1" errorTitle="Prognosezeitraum" error="Werte zwischen 0 - 240h" sqref="I67 I33" xr:uid="{00000000-0002-0000-0300-00000D000000}">
      <formula1>$R$33:$AC$33</formula1>
    </dataValidation>
  </dataValidations>
  <pageMargins left="0.25" right="0.25" top="0.75" bottom="0.75" header="0.3" footer="0.3"/>
  <pageSetup paperSize="9" scale="43" orientation="landscape" r:id="rId1"/>
  <ignoredErrors>
    <ignoredError sqref="E68:N68 E26:N26 E56:N60 E22 I22:N22 F52 G24:N24 J32:N32 E69:N69 G25:N25 E34:H34 E33:H33 J33:N33 J34:N34 J66:N66 E67:H67 J67:N67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E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1640625" style="128" customWidth="1"/>
    <col min="2" max="2" width="5.453125" style="128" customWidth="1"/>
    <col min="3" max="3" width="37.54296875" style="128" customWidth="1"/>
    <col min="4" max="4" width="12.54296875" style="128" customWidth="1"/>
    <col min="5" max="14" width="12.7265625" style="128" customWidth="1"/>
    <col min="15" max="15" width="34.1796875" style="128" customWidth="1"/>
    <col min="16" max="16" width="7.26953125" style="170" customWidth="1"/>
    <col min="17" max="18" width="7.26953125" style="208" hidden="1" customWidth="1"/>
    <col min="19" max="19" width="13.453125" style="208" hidden="1" customWidth="1"/>
    <col min="20" max="20" width="23.54296875" style="208" hidden="1" customWidth="1"/>
    <col min="21" max="21" width="5.453125" style="208" hidden="1" customWidth="1"/>
    <col min="22" max="22" width="5" style="208" hidden="1" customWidth="1"/>
    <col min="23" max="23" width="5.26953125" style="208" hidden="1" customWidth="1"/>
    <col min="24" max="24" width="5" style="208" hidden="1" customWidth="1"/>
    <col min="25" max="25" width="8.1796875" style="208" hidden="1" customWidth="1"/>
    <col min="26" max="26" width="11.7265625" style="208" hidden="1" customWidth="1"/>
    <col min="27" max="27" width="8.8164062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53125" style="57" hidden="1" customWidth="1"/>
    <col min="38" max="38" width="4" style="57" hidden="1" customWidth="1"/>
    <col min="39" max="47" width="4.453125" style="57" hidden="1" customWidth="1"/>
    <col min="48" max="48" width="4" style="57" hidden="1" customWidth="1"/>
    <col min="49" max="16383" width="22.54296875" style="57" hidden="1"/>
    <col min="16384" max="16384" width="1" style="57" hidden="1" customWidth="1"/>
  </cols>
  <sheetData>
    <row r="1" spans="2:56" ht="75" customHeight="1"/>
    <row r="2" spans="2:56" ht="23.5">
      <c r="B2" s="171" t="s">
        <v>545</v>
      </c>
    </row>
    <row r="3" spans="2:56" ht="15" customHeight="1">
      <c r="B3" s="171"/>
    </row>
    <row r="4" spans="2:56" ht="14.5">
      <c r="B4" s="130"/>
      <c r="C4" s="56" t="s">
        <v>447</v>
      </c>
      <c r="D4" s="57"/>
      <c r="E4" s="331" t="str">
        <f>Netzbetreiber!$D$9</f>
        <v>enercity Flughafen Netz GmbH</v>
      </c>
      <c r="F4" s="130"/>
      <c r="M4" s="130"/>
      <c r="N4" s="130"/>
      <c r="O4" s="130"/>
    </row>
    <row r="5" spans="2:56" ht="14.5">
      <c r="B5" s="130"/>
      <c r="C5" s="56" t="s">
        <v>446</v>
      </c>
      <c r="D5" s="57"/>
      <c r="E5" s="58" t="str">
        <f>Netzbetreiber!$D$28</f>
        <v>Flughafen</v>
      </c>
      <c r="F5" s="130"/>
      <c r="G5" s="130"/>
      <c r="H5" s="130"/>
      <c r="M5" s="130"/>
      <c r="N5" s="130"/>
      <c r="O5" s="130"/>
    </row>
    <row r="6" spans="2:56" ht="14.5">
      <c r="B6" s="130"/>
      <c r="C6" s="60" t="s">
        <v>489</v>
      </c>
      <c r="D6" s="57"/>
      <c r="E6" s="330" t="str">
        <f>Netzbetreiber!$D$11</f>
        <v>9907818000001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 ht="14.5">
      <c r="B7" s="130"/>
      <c r="C7" s="56" t="s">
        <v>133</v>
      </c>
      <c r="D7" s="57"/>
      <c r="E7" s="50">
        <f>Netzbetreiber!$D$6</f>
        <v>44927</v>
      </c>
      <c r="F7" s="130"/>
      <c r="G7" s="130"/>
      <c r="J7" s="130"/>
      <c r="K7" s="130"/>
      <c r="L7" s="130"/>
      <c r="M7" s="130"/>
      <c r="N7" s="130"/>
      <c r="O7" s="130"/>
    </row>
    <row r="8" spans="2:56" ht="14.5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 ht="14.5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 ht="14.5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 ht="14.5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 ht="14.5"/>
    <row r="13" spans="2:56" ht="18" customHeight="1">
      <c r="B13" s="130"/>
      <c r="C13" s="347" t="s">
        <v>585</v>
      </c>
      <c r="D13" s="347"/>
      <c r="E13" s="347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8" t="s">
        <v>450</v>
      </c>
      <c r="D14" s="348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8" t="s">
        <v>388</v>
      </c>
      <c r="D15" s="348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 ht="14.5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 ht="14.5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 ht="14.5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 ht="14.5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 ht="14.5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 ht="14.5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 ht="14.5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 ht="14.5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 ht="14.5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 ht="14.5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 ht="14.5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 ht="14.5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 ht="14.5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 ht="14.5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 ht="14.5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 ht="14.5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 ht="14.5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6.5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 ht="14.5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 ht="14.5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 ht="14.5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 ht="14.5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 ht="14.5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 ht="14.5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 ht="14.5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 ht="14.5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 ht="14.5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 ht="14.5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 ht="14.5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 ht="14.5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 ht="14.5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 ht="14.5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 ht="14.5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 ht="14.5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 ht="14.5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 ht="14.5"/>
    <row r="62" spans="2:28" ht="14.5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 ht="14.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 ht="14.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 ht="14.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 ht="14.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 ht="14.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 ht="14.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 ht="14.5"/>
    <row r="72" spans="2:15" ht="15.75" customHeight="1">
      <c r="C72" s="349" t="s">
        <v>581</v>
      </c>
      <c r="D72" s="349"/>
      <c r="E72" s="349"/>
      <c r="F72" s="349"/>
    </row>
    <row r="73" spans="2:15" ht="14.5"/>
    <row r="74" spans="2:15" ht="14.5" hidden="1"/>
    <row r="75" spans="2:15" ht="14.5" hidden="1"/>
    <row r="76" spans="2:15" ht="14.5" hidden="1"/>
    <row r="77" spans="2:15" ht="14.5" hidden="1"/>
    <row r="78" spans="2:15" ht="14.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29" priority="18">
      <formula>IF(E$20&lt;=$F$18,1,0)</formula>
    </cfRule>
  </conditionalFormatting>
  <conditionalFormatting sqref="E32:N36">
    <cfRule type="expression" dxfId="28" priority="17">
      <formula>IF(E$30&lt;=$F$28,1,0)</formula>
    </cfRule>
  </conditionalFormatting>
  <conditionalFormatting sqref="E26:F26">
    <cfRule type="expression" dxfId="27" priority="16">
      <formula>IF(E$20&lt;=$F$18,1,0)</formula>
    </cfRule>
  </conditionalFormatting>
  <conditionalFormatting sqref="E26:N26">
    <cfRule type="expression" dxfId="26" priority="15">
      <formula>IF(E$20&lt;=$F$18,1,0)</formula>
    </cfRule>
  </conditionalFormatting>
  <conditionalFormatting sqref="E56:N59">
    <cfRule type="expression" dxfId="25" priority="14">
      <formula>IF(E$54&lt;=$F$52,1,0)</formula>
    </cfRule>
  </conditionalFormatting>
  <conditionalFormatting sqref="E60:N60">
    <cfRule type="expression" dxfId="24" priority="13">
      <formula>IF(E$54&lt;=$F$52,1,0)</formula>
    </cfRule>
  </conditionalFormatting>
  <conditionalFormatting sqref="E66:N68">
    <cfRule type="expression" dxfId="23" priority="12">
      <formula>IF(E$64&lt;=$F$62,1,0)</formula>
    </cfRule>
  </conditionalFormatting>
  <conditionalFormatting sqref="E65:N68 E70:N70">
    <cfRule type="expression" dxfId="22" priority="11">
      <formula>IF(E$64&gt;$F$62,1,0)</formula>
    </cfRule>
  </conditionalFormatting>
  <conditionalFormatting sqref="E56:N60">
    <cfRule type="expression" dxfId="21" priority="10">
      <formula>IF(E$54&gt;$F$52,1,0)</formula>
    </cfRule>
  </conditionalFormatting>
  <conditionalFormatting sqref="E21:N26">
    <cfRule type="expression" dxfId="20" priority="9">
      <formula>IF(E$20&gt;$F$18,1,0)</formula>
    </cfRule>
  </conditionalFormatting>
  <conditionalFormatting sqref="E32:N36">
    <cfRule type="expression" dxfId="19" priority="8">
      <formula>IF(E$30&gt;$F$28,1,0)</formula>
    </cfRule>
  </conditionalFormatting>
  <conditionalFormatting sqref="H11 H8:H9">
    <cfRule type="expression" dxfId="18" priority="7">
      <formula>IF($F$9=1,1,0)</formula>
    </cfRule>
  </conditionalFormatting>
  <conditionalFormatting sqref="E55:N55">
    <cfRule type="expression" dxfId="17" priority="6">
      <formula>IF(E$54&gt;$F$52,1,0)</formula>
    </cfRule>
  </conditionalFormatting>
  <conditionalFormatting sqref="E31:N31">
    <cfRule type="expression" dxfId="16" priority="5">
      <formula>IF(E$30&gt;$F$28,1,0)</formula>
    </cfRule>
  </conditionalFormatting>
  <conditionalFormatting sqref="E70:N70">
    <cfRule type="expression" dxfId="15" priority="4">
      <formula>IF(E$64&lt;=$F$62,1,0)</formula>
    </cfRule>
  </conditionalFormatting>
  <conditionalFormatting sqref="H10">
    <cfRule type="expression" dxfId="14" priority="3">
      <formula>IF($F$9=1,1,0)</formula>
    </cfRule>
  </conditionalFormatting>
  <conditionalFormatting sqref="E69:N69">
    <cfRule type="expression" dxfId="13" priority="2">
      <formula>IF(E$64&lt;=$F$62,1,0)</formula>
    </cfRule>
  </conditionalFormatting>
  <conditionalFormatting sqref="E69:N69">
    <cfRule type="expression" dxfId="12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/>
  </sheetViews>
  <sheetFormatPr baseColWidth="10" defaultColWidth="0" defaultRowHeight="14.5" zeroHeight="1"/>
  <cols>
    <col min="1" max="1" width="2.81640625" style="128" customWidth="1"/>
    <col min="2" max="2" width="8" style="128" customWidth="1"/>
    <col min="3" max="3" width="37.453125" style="128" customWidth="1"/>
    <col min="4" max="4" width="10.7265625" style="128" customWidth="1"/>
    <col min="5" max="6" width="11.453125" style="128" customWidth="1"/>
    <col min="8" max="8" width="12.7265625" style="128" customWidth="1"/>
    <col min="9" max="9" width="15.453125" style="128" customWidth="1"/>
    <col min="10" max="11" width="12.7265625" style="128" customWidth="1"/>
    <col min="12" max="12" width="11.453125" style="128" customWidth="1"/>
    <col min="13" max="16" width="12.7265625" style="128" customWidth="1"/>
    <col min="17" max="17" width="14.1796875" style="128" customWidth="1"/>
    <col min="18" max="24" width="11.453125" style="128" customWidth="1"/>
    <col min="25" max="25" width="20.1796875" style="128" customWidth="1"/>
    <col min="26" max="26" width="11.453125" style="128" customWidth="1"/>
    <col min="27" max="16384" width="11.453125" style="128" hidden="1"/>
  </cols>
  <sheetData>
    <row r="1" spans="2:26" ht="75" customHeight="1" thickBot="1"/>
    <row r="2" spans="2:26" ht="23.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enercity Flughafen Netz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Flughafen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9907818000001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44927</v>
      </c>
      <c r="E8" s="130"/>
      <c r="F8" s="130"/>
      <c r="H8" s="128" t="s">
        <v>497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4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" thickBot="1">
      <c r="B11" s="139" t="s">
        <v>498</v>
      </c>
      <c r="C11" s="140" t="s">
        <v>511</v>
      </c>
      <c r="D11" s="294" t="s">
        <v>247</v>
      </c>
      <c r="E11" s="164" t="s">
        <v>671</v>
      </c>
      <c r="F11" s="296" t="str">
        <f>VLOOKUP($E11,'BDEW-Standard'!$B$3:$M$158,F$9,0)</f>
        <v>AB4</v>
      </c>
      <c r="H11" s="167">
        <f>ROUND(VLOOKUP($E11,'BDEW-Standard'!$B$3:$M$158,H$9,0),7)</f>
        <v>0.35376400000000002</v>
      </c>
      <c r="I11" s="167">
        <f>ROUND(VLOOKUP($E11,'BDEW-Standard'!$B$3:$M$158,I$9,0),7)</f>
        <v>-33.35</v>
      </c>
      <c r="J11" s="167">
        <f>ROUND(VLOOKUP($E11,'BDEW-Standard'!$B$3:$M$158,J$9,0),7)</f>
        <v>5.7212303000000002</v>
      </c>
      <c r="K11" s="167">
        <f>ROUND(VLOOKUP($E11,'BDEW-Standard'!$B$3:$M$158,K$9,0),7)</f>
        <v>0.3033305</v>
      </c>
      <c r="L11" s="336">
        <f>ROUND(VLOOKUP($E11,'BDEW-Standard'!$B$3:$M$158,L$9,0),1)</f>
        <v>40</v>
      </c>
      <c r="M11" s="167">
        <f>ROUND(VLOOKUP($E11,'BDEW-Standard'!$B$3:$M$158,M$9,0),7)</f>
        <v>-1.77463E-2</v>
      </c>
      <c r="N11" s="167">
        <f>ROUND(VLOOKUP($E11,'BDEW-Standard'!$B$3:$M$158,N$9,0),7)</f>
        <v>0.68256989999999995</v>
      </c>
      <c r="O11" s="167">
        <f>ROUND(VLOOKUP($E11,'BDEW-Standard'!$B$3:$M$158,O$9,0),7)</f>
        <v>-1.3912E-3</v>
      </c>
      <c r="P11" s="167">
        <f>ROUND(VLOOKUP($E11,'BDEW-Standard'!$B$3:$M$158,P$9,0),7)</f>
        <v>0.54346240000000001</v>
      </c>
      <c r="Q11" s="337">
        <f>($H11/(1+($I11/($Q$9-$L11))^$J11)+$K11)+MAX($M11*$Q$9+$N11,$O11*$Q$9+$P11)</f>
        <v>1.0000003335127634</v>
      </c>
      <c r="R11" s="168">
        <f>ROUND(VLOOKUP(MID($E11,4,3),'Wochentag F(WT)'!$B$7:$J$22,R$9,0),4)</f>
        <v>1.0848</v>
      </c>
      <c r="S11" s="168">
        <f>ROUND(VLOOKUP(MID($E11,4,3),'Wochentag F(WT)'!$B$7:$J$22,S$9,0),4)</f>
        <v>1.1211</v>
      </c>
      <c r="T11" s="168">
        <f>ROUND(VLOOKUP(MID($E11,4,3),'Wochentag F(WT)'!$B$7:$J$22,T$9,0),4)</f>
        <v>1.0769</v>
      </c>
      <c r="U11" s="168">
        <f>ROUND(VLOOKUP(MID($E11,4,3),'Wochentag F(WT)'!$B$7:$J$22,U$9,0),4)</f>
        <v>1.1353</v>
      </c>
      <c r="V11" s="168">
        <f>ROUND(VLOOKUP(MID($E11,4,3),'Wochentag F(WT)'!$B$7:$J$22,V$9,0),4)</f>
        <v>1.1402000000000001</v>
      </c>
      <c r="W11" s="168">
        <f>ROUND(VLOOKUP(MID($E11,4,3),'Wochentag F(WT)'!$B$7:$J$22,W$9,0),4)</f>
        <v>0.48520000000000002</v>
      </c>
      <c r="X11" s="169">
        <f>7-SUM(R11:W11)</f>
        <v>0.95650000000000013</v>
      </c>
      <c r="Y11" s="292">
        <v>365.12299999999999</v>
      </c>
    </row>
    <row r="12" spans="2:26">
      <c r="B12" s="141">
        <v>1</v>
      </c>
      <c r="C12" s="142" t="str">
        <f t="shared" ref="C12:C41" si="0">$D$6</f>
        <v>Flughafen</v>
      </c>
      <c r="D12" s="62" t="s">
        <v>247</v>
      </c>
      <c r="E12" s="165" t="s">
        <v>671</v>
      </c>
      <c r="F12" s="297" t="str">
        <f>VLOOKUP($E12,'BDEW-Standard'!$B$3:$M$94,F$9,0)</f>
        <v>AB4</v>
      </c>
      <c r="H12" s="274" t="s">
        <v>684</v>
      </c>
      <c r="I12" s="274" t="s">
        <v>685</v>
      </c>
      <c r="J12" s="274" t="s">
        <v>686</v>
      </c>
      <c r="K12" s="274" t="s">
        <v>687</v>
      </c>
      <c r="L12" s="338">
        <f>ROUND(VLOOKUP($E12,'BDEW-Standard'!$B$3:$M$94,L$9,0),1)</f>
        <v>40</v>
      </c>
      <c r="M12" s="274" t="s">
        <v>740</v>
      </c>
      <c r="N12" s="274" t="s">
        <v>741</v>
      </c>
      <c r="O12" s="274">
        <v>-1.3912E-3</v>
      </c>
      <c r="P12" s="274" t="s">
        <v>742</v>
      </c>
      <c r="Q12" s="339">
        <f t="shared" ref="Q12:Q26" si="1">($H12/(1+($I12/($Q$9-$L12))^$J12)+$K12)+MAX($M12*$Q$9+$N12,$O12*$Q$9+$P12)</f>
        <v>1.0000003335127634</v>
      </c>
      <c r="R12" s="275" t="s">
        <v>846</v>
      </c>
      <c r="S12" s="275" t="s">
        <v>780</v>
      </c>
      <c r="T12" s="275" t="s">
        <v>781</v>
      </c>
      <c r="U12" s="275" t="s">
        <v>782</v>
      </c>
      <c r="V12" s="275" t="s">
        <v>783</v>
      </c>
      <c r="W12" s="275" t="s">
        <v>784</v>
      </c>
      <c r="X12" s="276" t="s">
        <v>785</v>
      </c>
      <c r="Y12" s="293"/>
      <c r="Z12" s="211"/>
    </row>
    <row r="13" spans="2:26" s="143" customFormat="1">
      <c r="B13" s="144">
        <v>2</v>
      </c>
      <c r="C13" s="145" t="str">
        <f t="shared" si="0"/>
        <v>Flughafen</v>
      </c>
      <c r="D13" s="62" t="s">
        <v>247</v>
      </c>
      <c r="E13" s="165" t="s">
        <v>672</v>
      </c>
      <c r="F13" s="297" t="str">
        <f>VLOOKUP($E13,'BDEW-Standard'!$B$3:$M$94,F$9,0)</f>
        <v>DB4</v>
      </c>
      <c r="H13" s="274" t="s">
        <v>688</v>
      </c>
      <c r="I13" s="274" t="s">
        <v>689</v>
      </c>
      <c r="J13" s="274" t="s">
        <v>690</v>
      </c>
      <c r="K13" s="274" t="s">
        <v>691</v>
      </c>
      <c r="L13" s="338">
        <f>ROUND(VLOOKUP($E13,'BDEW-Standard'!$B$3:$M$94,L$9,0),1)</f>
        <v>40</v>
      </c>
      <c r="M13" s="274" t="s">
        <v>743</v>
      </c>
      <c r="N13" s="274" t="s">
        <v>744</v>
      </c>
      <c r="O13" s="274">
        <v>-1.3133999999999999E-3</v>
      </c>
      <c r="P13" s="274" t="s">
        <v>745</v>
      </c>
      <c r="Q13" s="339">
        <f t="shared" si="1"/>
        <v>1.0000002163173649</v>
      </c>
      <c r="R13" s="275" t="s">
        <v>847</v>
      </c>
      <c r="S13" s="275" t="s">
        <v>786</v>
      </c>
      <c r="T13" s="275" t="s">
        <v>787</v>
      </c>
      <c r="U13" s="275" t="s">
        <v>788</v>
      </c>
      <c r="V13" s="275" t="s">
        <v>789</v>
      </c>
      <c r="W13" s="275" t="s">
        <v>790</v>
      </c>
      <c r="X13" s="276" t="s">
        <v>791</v>
      </c>
      <c r="Y13" s="293"/>
      <c r="Z13" s="211"/>
    </row>
    <row r="14" spans="2:26" s="143" customFormat="1">
      <c r="B14" s="144">
        <v>3</v>
      </c>
      <c r="C14" s="145" t="str">
        <f t="shared" si="0"/>
        <v>Flughafen</v>
      </c>
      <c r="D14" s="62" t="s">
        <v>247</v>
      </c>
      <c r="E14" s="165" t="s">
        <v>673</v>
      </c>
      <c r="F14" s="297" t="str">
        <f>VLOOKUP($E14,'BDEW-Standard'!$B$3:$M$94,F$9,0)</f>
        <v>HB4</v>
      </c>
      <c r="H14" s="274" t="s">
        <v>692</v>
      </c>
      <c r="I14" s="274" t="s">
        <v>693</v>
      </c>
      <c r="J14" s="274" t="s">
        <v>694</v>
      </c>
      <c r="K14" s="274" t="s">
        <v>695</v>
      </c>
      <c r="L14" s="338">
        <f>ROUND(VLOOKUP($E14,'BDEW-Standard'!$B$3:$M$94,L$9,0),1)</f>
        <v>40</v>
      </c>
      <c r="M14" s="274" t="s">
        <v>746</v>
      </c>
      <c r="N14" s="274" t="s">
        <v>747</v>
      </c>
      <c r="O14" s="274">
        <v>-2.2304E-3</v>
      </c>
      <c r="P14" s="274" t="s">
        <v>748</v>
      </c>
      <c r="Q14" s="339">
        <f t="shared" si="1"/>
        <v>1.0000002654795639</v>
      </c>
      <c r="R14" s="275" t="s">
        <v>808</v>
      </c>
      <c r="S14" s="275" t="s">
        <v>792</v>
      </c>
      <c r="T14" s="275" t="s">
        <v>793</v>
      </c>
      <c r="U14" s="275" t="s">
        <v>794</v>
      </c>
      <c r="V14" s="275" t="s">
        <v>795</v>
      </c>
      <c r="W14" s="275" t="s">
        <v>796</v>
      </c>
      <c r="X14" s="276" t="s">
        <v>797</v>
      </c>
      <c r="Y14" s="293"/>
      <c r="Z14" s="211"/>
    </row>
    <row r="15" spans="2:26" s="143" customFormat="1">
      <c r="B15" s="144">
        <v>4</v>
      </c>
      <c r="C15" s="145" t="str">
        <f t="shared" si="0"/>
        <v>Flughafen</v>
      </c>
      <c r="D15" s="62" t="s">
        <v>247</v>
      </c>
      <c r="E15" s="165" t="s">
        <v>674</v>
      </c>
      <c r="F15" s="297" t="str">
        <f>VLOOKUP($E15,'BDEW-Standard'!$B$3:$M$94,F$9,0)</f>
        <v>AG4</v>
      </c>
      <c r="H15" s="274" t="s">
        <v>696</v>
      </c>
      <c r="I15" s="274" t="s">
        <v>697</v>
      </c>
      <c r="J15" s="274" t="s">
        <v>698</v>
      </c>
      <c r="K15" s="274" t="s">
        <v>699</v>
      </c>
      <c r="L15" s="338">
        <f>ROUND(VLOOKUP($E15,'BDEW-Standard'!$B$3:$M$94,L$9,0),1)</f>
        <v>40</v>
      </c>
      <c r="M15" s="274" t="s">
        <v>749</v>
      </c>
      <c r="N15" s="274" t="s">
        <v>750</v>
      </c>
      <c r="O15" s="274">
        <v>-6.5870000000000002E-4</v>
      </c>
      <c r="P15" s="274" t="s">
        <v>751</v>
      </c>
      <c r="Q15" s="339">
        <f t="shared" si="1"/>
        <v>1.0000000851295017</v>
      </c>
      <c r="R15" s="275" t="s">
        <v>848</v>
      </c>
      <c r="S15" s="275" t="s">
        <v>798</v>
      </c>
      <c r="T15" s="275" t="s">
        <v>799</v>
      </c>
      <c r="U15" s="275" t="s">
        <v>800</v>
      </c>
      <c r="V15" s="275" t="s">
        <v>801</v>
      </c>
      <c r="W15" s="275" t="s">
        <v>802</v>
      </c>
      <c r="X15" s="276" t="s">
        <v>803</v>
      </c>
      <c r="Y15" s="293"/>
      <c r="Z15" s="211"/>
    </row>
    <row r="16" spans="2:26" s="143" customFormat="1">
      <c r="B16" s="144">
        <v>5</v>
      </c>
      <c r="C16" s="145" t="str">
        <f t="shared" si="0"/>
        <v>Flughafen</v>
      </c>
      <c r="D16" s="62" t="s">
        <v>247</v>
      </c>
      <c r="E16" s="165" t="s">
        <v>675</v>
      </c>
      <c r="F16" s="297" t="str">
        <f>VLOOKUP($E16,'BDEW-Standard'!$B$3:$M$94,F$9,0)</f>
        <v>BG4</v>
      </c>
      <c r="H16" s="274" t="s">
        <v>700</v>
      </c>
      <c r="I16" s="274" t="s">
        <v>701</v>
      </c>
      <c r="J16" s="274" t="s">
        <v>702</v>
      </c>
      <c r="K16" s="274" t="s">
        <v>703</v>
      </c>
      <c r="L16" s="338">
        <f>ROUND(VLOOKUP($E16,'BDEW-Standard'!$B$3:$M$94,L$9,0),1)</f>
        <v>40</v>
      </c>
      <c r="M16" s="274" t="s">
        <v>752</v>
      </c>
      <c r="N16" s="274" t="s">
        <v>753</v>
      </c>
      <c r="O16" s="274">
        <v>-1.1318999999999999E-3</v>
      </c>
      <c r="P16" s="274" t="s">
        <v>754</v>
      </c>
      <c r="Q16" s="339">
        <f t="shared" si="1"/>
        <v>0.99999994849712071</v>
      </c>
      <c r="R16" s="275" t="s">
        <v>849</v>
      </c>
      <c r="S16" s="275" t="s">
        <v>804</v>
      </c>
      <c r="T16" s="275" t="s">
        <v>805</v>
      </c>
      <c r="U16" s="275" t="s">
        <v>806</v>
      </c>
      <c r="V16" s="275" t="s">
        <v>807</v>
      </c>
      <c r="W16" s="275" t="s">
        <v>808</v>
      </c>
      <c r="X16" s="276" t="s">
        <v>809</v>
      </c>
      <c r="Y16" s="293"/>
      <c r="Z16" s="211"/>
    </row>
    <row r="17" spans="2:26" s="143" customFormat="1">
      <c r="B17" s="144">
        <v>6</v>
      </c>
      <c r="C17" s="145" t="str">
        <f t="shared" si="0"/>
        <v>Flughafen</v>
      </c>
      <c r="D17" s="62" t="s">
        <v>247</v>
      </c>
      <c r="E17" s="165" t="s">
        <v>676</v>
      </c>
      <c r="F17" s="297" t="str">
        <f>VLOOKUP($E17,'BDEW-Standard'!$B$3:$M$94,F$9,0)</f>
        <v>AH4</v>
      </c>
      <c r="H17" s="274" t="s">
        <v>704</v>
      </c>
      <c r="I17" s="274" t="s">
        <v>705</v>
      </c>
      <c r="J17" s="274" t="s">
        <v>706</v>
      </c>
      <c r="K17" s="274" t="s">
        <v>707</v>
      </c>
      <c r="L17" s="338">
        <f>ROUND(VLOOKUP($E17,'BDEW-Standard'!$B$3:$M$94,L$9,0),1)</f>
        <v>40</v>
      </c>
      <c r="M17" s="274" t="s">
        <v>755</v>
      </c>
      <c r="N17" s="274" t="s">
        <v>756</v>
      </c>
      <c r="O17" s="274">
        <v>-4.9200000000000003E-4</v>
      </c>
      <c r="P17" s="274" t="s">
        <v>757</v>
      </c>
      <c r="Q17" s="339">
        <f t="shared" si="1"/>
        <v>0.99999978825959834</v>
      </c>
      <c r="R17" s="275" t="s">
        <v>850</v>
      </c>
      <c r="S17" s="275" t="s">
        <v>810</v>
      </c>
      <c r="T17" s="275" t="s">
        <v>811</v>
      </c>
      <c r="U17" s="275" t="s">
        <v>812</v>
      </c>
      <c r="V17" s="275" t="s">
        <v>813</v>
      </c>
      <c r="W17" s="275" t="s">
        <v>814</v>
      </c>
      <c r="X17" s="276" t="s">
        <v>815</v>
      </c>
      <c r="Y17" s="293"/>
      <c r="Z17" s="211"/>
    </row>
    <row r="18" spans="2:26" s="143" customFormat="1">
      <c r="B18" s="144">
        <v>7</v>
      </c>
      <c r="C18" s="145" t="str">
        <f t="shared" si="0"/>
        <v>Flughafen</v>
      </c>
      <c r="D18" s="62" t="s">
        <v>247</v>
      </c>
      <c r="E18" s="165" t="s">
        <v>677</v>
      </c>
      <c r="F18" s="297" t="str">
        <f>VLOOKUP($E18,'BDEW-Standard'!$B$3:$M$94,F$9,0)</f>
        <v>DH4</v>
      </c>
      <c r="H18" s="274" t="s">
        <v>708</v>
      </c>
      <c r="I18" s="274" t="s">
        <v>709</v>
      </c>
      <c r="J18" s="274" t="s">
        <v>710</v>
      </c>
      <c r="K18" s="274" t="s">
        <v>711</v>
      </c>
      <c r="L18" s="338">
        <f>ROUND(VLOOKUP($E18,'BDEW-Standard'!$B$3:$M$94,L$9,0),1)</f>
        <v>40</v>
      </c>
      <c r="M18" s="274" t="s">
        <v>758</v>
      </c>
      <c r="N18" s="274" t="s">
        <v>759</v>
      </c>
      <c r="O18" s="274">
        <v>-8.5220000000000001E-4</v>
      </c>
      <c r="P18" s="274" t="s">
        <v>760</v>
      </c>
      <c r="Q18" s="339">
        <f t="shared" si="1"/>
        <v>1.0000000039369006</v>
      </c>
      <c r="R18" s="275" t="s">
        <v>816</v>
      </c>
      <c r="S18" s="275" t="s">
        <v>816</v>
      </c>
      <c r="T18" s="275" t="s">
        <v>817</v>
      </c>
      <c r="U18" s="275" t="s">
        <v>816</v>
      </c>
      <c r="V18" s="275" t="s">
        <v>818</v>
      </c>
      <c r="W18" s="275" t="s">
        <v>819</v>
      </c>
      <c r="X18" s="276" t="s">
        <v>820</v>
      </c>
      <c r="Y18" s="293"/>
      <c r="Z18" s="211"/>
    </row>
    <row r="19" spans="2:26" s="143" customFormat="1">
      <c r="B19" s="144">
        <v>8</v>
      </c>
      <c r="C19" s="145" t="str">
        <f t="shared" si="0"/>
        <v>Flughafen</v>
      </c>
      <c r="D19" s="62" t="s">
        <v>247</v>
      </c>
      <c r="E19" s="165" t="s">
        <v>518</v>
      </c>
      <c r="F19" s="297" t="str">
        <f>VLOOKUP($E19,'BDEW-Standard'!$B$3:$M$94,F$9,0)</f>
        <v>OK4</v>
      </c>
      <c r="H19" s="274" t="s">
        <v>712</v>
      </c>
      <c r="I19" s="274" t="s">
        <v>713</v>
      </c>
      <c r="J19" s="274" t="s">
        <v>714</v>
      </c>
      <c r="K19" s="274" t="s">
        <v>715</v>
      </c>
      <c r="L19" s="338">
        <f>ROUND(VLOOKUP($E19,'BDEW-Standard'!$B$3:$M$94,L$9,0),1)</f>
        <v>40</v>
      </c>
      <c r="M19" s="274" t="s">
        <v>761</v>
      </c>
      <c r="N19" s="274" t="s">
        <v>762</v>
      </c>
      <c r="O19" s="274">
        <v>-7.628E-4</v>
      </c>
      <c r="P19" s="274" t="s">
        <v>763</v>
      </c>
      <c r="Q19" s="339">
        <f t="shared" si="1"/>
        <v>0.99999998323532646</v>
      </c>
      <c r="R19" s="275" t="s">
        <v>851</v>
      </c>
      <c r="S19" s="275" t="s">
        <v>821</v>
      </c>
      <c r="T19" s="275" t="s">
        <v>822</v>
      </c>
      <c r="U19" s="275" t="s">
        <v>823</v>
      </c>
      <c r="V19" s="275" t="s">
        <v>824</v>
      </c>
      <c r="W19" s="275" t="s">
        <v>825</v>
      </c>
      <c r="X19" s="276" t="s">
        <v>826</v>
      </c>
      <c r="Y19" s="293"/>
      <c r="Z19" s="211"/>
    </row>
    <row r="20" spans="2:26" s="143" customFormat="1">
      <c r="B20" s="144">
        <v>9</v>
      </c>
      <c r="C20" s="145" t="str">
        <f t="shared" si="0"/>
        <v>Flughafen</v>
      </c>
      <c r="D20" s="62" t="s">
        <v>247</v>
      </c>
      <c r="E20" s="165" t="s">
        <v>678</v>
      </c>
      <c r="F20" s="297" t="str">
        <f>VLOOKUP($E20,'BDEW-Standard'!$B$3:$M$94,F$9,0)</f>
        <v>FM4</v>
      </c>
      <c r="H20" s="274" t="s">
        <v>716</v>
      </c>
      <c r="I20" s="274" t="s">
        <v>717</v>
      </c>
      <c r="J20" s="274" t="s">
        <v>718</v>
      </c>
      <c r="K20" s="274" t="s">
        <v>719</v>
      </c>
      <c r="L20" s="338">
        <f>ROUND(VLOOKUP($E20,'BDEW-Standard'!$B$3:$M$94,L$9,0),1)</f>
        <v>40</v>
      </c>
      <c r="M20" s="274" t="s">
        <v>764</v>
      </c>
      <c r="N20" s="274" t="s">
        <v>765</v>
      </c>
      <c r="O20" s="274">
        <v>-2.1757999999999999E-3</v>
      </c>
      <c r="P20" s="274" t="s">
        <v>766</v>
      </c>
      <c r="Q20" s="339">
        <f t="shared" si="1"/>
        <v>1.0000002009557505</v>
      </c>
      <c r="R20" s="275" t="s">
        <v>851</v>
      </c>
      <c r="S20" s="275" t="s">
        <v>821</v>
      </c>
      <c r="T20" s="275" t="s">
        <v>822</v>
      </c>
      <c r="U20" s="275" t="s">
        <v>823</v>
      </c>
      <c r="V20" s="275" t="s">
        <v>824</v>
      </c>
      <c r="W20" s="275" t="s">
        <v>825</v>
      </c>
      <c r="X20" s="276" t="s">
        <v>826</v>
      </c>
      <c r="Y20" s="293"/>
      <c r="Z20" s="211"/>
    </row>
    <row r="21" spans="2:26" s="143" customFormat="1">
      <c r="B21" s="144">
        <v>10</v>
      </c>
      <c r="C21" s="145" t="str">
        <f t="shared" si="0"/>
        <v>Flughafen</v>
      </c>
      <c r="D21" s="62" t="s">
        <v>247</v>
      </c>
      <c r="E21" s="165" t="s">
        <v>679</v>
      </c>
      <c r="F21" s="297" t="str">
        <f>VLOOKUP($E21,'BDEW-Standard'!$B$3:$M$94,F$9,0)</f>
        <v>KM4</v>
      </c>
      <c r="H21" s="274" t="s">
        <v>720</v>
      </c>
      <c r="I21" s="274" t="s">
        <v>721</v>
      </c>
      <c r="J21" s="274" t="s">
        <v>722</v>
      </c>
      <c r="K21" s="274" t="s">
        <v>723</v>
      </c>
      <c r="L21" s="338">
        <f>ROUND(VLOOKUP($E21,'BDEW-Standard'!$B$3:$M$94,L$9,0),1)</f>
        <v>40</v>
      </c>
      <c r="M21" s="274" t="s">
        <v>767</v>
      </c>
      <c r="N21" s="274" t="s">
        <v>768</v>
      </c>
      <c r="O21" s="274">
        <v>-8.9800000000000004E-4</v>
      </c>
      <c r="P21" s="274" t="s">
        <v>769</v>
      </c>
      <c r="Q21" s="339">
        <f t="shared" si="1"/>
        <v>0.99999980571056124</v>
      </c>
      <c r="R21" s="275" t="s">
        <v>852</v>
      </c>
      <c r="S21" s="275" t="s">
        <v>827</v>
      </c>
      <c r="T21" s="275" t="s">
        <v>828</v>
      </c>
      <c r="U21" s="275" t="s">
        <v>829</v>
      </c>
      <c r="V21" s="275" t="s">
        <v>830</v>
      </c>
      <c r="W21" s="275" t="s">
        <v>831</v>
      </c>
      <c r="X21" s="276" t="s">
        <v>832</v>
      </c>
      <c r="Y21" s="293"/>
      <c r="Z21" s="211"/>
    </row>
    <row r="22" spans="2:26" s="143" customFormat="1">
      <c r="B22" s="144">
        <v>11</v>
      </c>
      <c r="C22" s="145" t="str">
        <f t="shared" si="0"/>
        <v>Flughafen</v>
      </c>
      <c r="D22" s="62" t="s">
        <v>247</v>
      </c>
      <c r="E22" s="165" t="s">
        <v>680</v>
      </c>
      <c r="F22" s="297" t="str">
        <f>VLOOKUP($E22,'BDEW-Standard'!$B$3:$M$94,F$9,0)</f>
        <v>DP4</v>
      </c>
      <c r="H22" s="274" t="s">
        <v>724</v>
      </c>
      <c r="I22" s="274" t="s">
        <v>725</v>
      </c>
      <c r="J22" s="274" t="s">
        <v>726</v>
      </c>
      <c r="K22" s="274" t="s">
        <v>727</v>
      </c>
      <c r="L22" s="338">
        <f>ROUND(VLOOKUP($E22,'BDEW-Standard'!$B$3:$M$94,L$9,0),1)</f>
        <v>40</v>
      </c>
      <c r="M22" s="274" t="s">
        <v>770</v>
      </c>
      <c r="N22" s="274" t="s">
        <v>771</v>
      </c>
      <c r="O22" s="274">
        <v>-1.105E-4</v>
      </c>
      <c r="P22" s="274" t="s">
        <v>772</v>
      </c>
      <c r="Q22" s="339">
        <f t="shared" si="1"/>
        <v>0.99999976624159248</v>
      </c>
      <c r="R22" s="275" t="s">
        <v>853</v>
      </c>
      <c r="S22" s="275" t="s">
        <v>833</v>
      </c>
      <c r="T22" s="275" t="s">
        <v>834</v>
      </c>
      <c r="U22" s="275" t="s">
        <v>835</v>
      </c>
      <c r="V22" s="275" t="s">
        <v>836</v>
      </c>
      <c r="W22" s="275" t="s">
        <v>837</v>
      </c>
      <c r="X22" s="276" t="s">
        <v>838</v>
      </c>
      <c r="Y22" s="293"/>
      <c r="Z22" s="211"/>
    </row>
    <row r="23" spans="2:26" s="143" customFormat="1">
      <c r="B23" s="144">
        <v>12</v>
      </c>
      <c r="C23" s="145" t="str">
        <f t="shared" si="0"/>
        <v>Flughafen</v>
      </c>
      <c r="D23" s="62" t="s">
        <v>247</v>
      </c>
      <c r="E23" s="165" t="s">
        <v>681</v>
      </c>
      <c r="F23" s="297" t="str">
        <f>VLOOKUP($E23,'BDEW-Standard'!$B$3:$M$94,F$9,0)</f>
        <v>AW4</v>
      </c>
      <c r="H23" s="274" t="s">
        <v>728</v>
      </c>
      <c r="I23" s="274" t="s">
        <v>729</v>
      </c>
      <c r="J23" s="274" t="s">
        <v>730</v>
      </c>
      <c r="K23" s="274" t="s">
        <v>731</v>
      </c>
      <c r="L23" s="338">
        <f>ROUND(VLOOKUP($E23,'BDEW-Standard'!$B$3:$M$94,L$9,0),1)</f>
        <v>40</v>
      </c>
      <c r="M23" s="274" t="s">
        <v>773</v>
      </c>
      <c r="N23" s="274" t="s">
        <v>774</v>
      </c>
      <c r="O23" s="274">
        <v>-2.0301E-3</v>
      </c>
      <c r="P23" s="274" t="s">
        <v>775</v>
      </c>
      <c r="Q23" s="339">
        <f t="shared" si="1"/>
        <v>0.99999985965518789</v>
      </c>
      <c r="R23" s="275" t="s">
        <v>854</v>
      </c>
      <c r="S23" s="275" t="s">
        <v>839</v>
      </c>
      <c r="T23" s="275" t="s">
        <v>840</v>
      </c>
      <c r="U23" s="275" t="s">
        <v>841</v>
      </c>
      <c r="V23" s="275" t="s">
        <v>842</v>
      </c>
      <c r="W23" s="275" t="s">
        <v>843</v>
      </c>
      <c r="X23" s="276" t="s">
        <v>844</v>
      </c>
      <c r="Y23" s="293"/>
      <c r="Z23" s="211"/>
    </row>
    <row r="24" spans="2:26" s="143" customFormat="1">
      <c r="B24" s="144">
        <v>13</v>
      </c>
      <c r="C24" s="145" t="str">
        <f t="shared" si="0"/>
        <v>Flughafen</v>
      </c>
      <c r="D24" s="62" t="s">
        <v>247</v>
      </c>
      <c r="E24" s="165" t="s">
        <v>682</v>
      </c>
      <c r="F24" s="297" t="str">
        <f>VLOOKUP($E24,'BDEW-Standard'!$B$3:$M$94,F$9,0)</f>
        <v>1D4</v>
      </c>
      <c r="H24" s="274" t="s">
        <v>732</v>
      </c>
      <c r="I24" s="274" t="s">
        <v>733</v>
      </c>
      <c r="J24" s="274" t="s">
        <v>734</v>
      </c>
      <c r="K24" s="274" t="s">
        <v>735</v>
      </c>
      <c r="L24" s="338">
        <f>ROUND(VLOOKUP($E24,'BDEW-Standard'!$B$3:$M$94,L$9,0),1)</f>
        <v>40</v>
      </c>
      <c r="M24" s="274" t="s">
        <v>776</v>
      </c>
      <c r="N24" s="274" t="s">
        <v>777</v>
      </c>
      <c r="O24" s="274">
        <v>-1.9981999999999999E-3</v>
      </c>
      <c r="P24" s="274" t="s">
        <v>778</v>
      </c>
      <c r="Q24" s="339">
        <f t="shared" si="1"/>
        <v>0.99999980856445458</v>
      </c>
      <c r="R24" s="275" t="s">
        <v>845</v>
      </c>
      <c r="S24" s="275" t="s">
        <v>845</v>
      </c>
      <c r="T24" s="275" t="s">
        <v>845</v>
      </c>
      <c r="U24" s="275" t="s">
        <v>845</v>
      </c>
      <c r="V24" s="275" t="s">
        <v>845</v>
      </c>
      <c r="W24" s="275" t="s">
        <v>845</v>
      </c>
      <c r="X24" s="276" t="s">
        <v>845</v>
      </c>
      <c r="Y24" s="293"/>
      <c r="Z24" s="211"/>
    </row>
    <row r="25" spans="2:26" s="143" customFormat="1">
      <c r="B25" s="144">
        <v>14</v>
      </c>
      <c r="C25" s="145" t="str">
        <f t="shared" si="0"/>
        <v>Flughafen</v>
      </c>
      <c r="D25" s="62" t="s">
        <v>247</v>
      </c>
      <c r="E25" s="165" t="s">
        <v>4</v>
      </c>
      <c r="F25" s="297" t="str">
        <f>VLOOKUP($E25,'BDEW-Standard'!$B$3:$M$94,F$9,0)</f>
        <v>HK3</v>
      </c>
      <c r="H25" s="274" t="s">
        <v>736</v>
      </c>
      <c r="I25" s="274" t="s">
        <v>737</v>
      </c>
      <c r="J25" s="274" t="s">
        <v>738</v>
      </c>
      <c r="K25" s="274" t="s">
        <v>739</v>
      </c>
      <c r="L25" s="338">
        <f>ROUND(VLOOKUP($E25,'BDEW-Standard'!$B$3:$M$94,L$9,0),1)</f>
        <v>40</v>
      </c>
      <c r="M25" s="274" t="s">
        <v>779</v>
      </c>
      <c r="N25" s="274" t="s">
        <v>779</v>
      </c>
      <c r="O25" s="274">
        <v>0</v>
      </c>
      <c r="P25" s="274" t="s">
        <v>779</v>
      </c>
      <c r="Q25" s="339">
        <f t="shared" si="1"/>
        <v>1.0561214108512007</v>
      </c>
      <c r="R25" s="275" t="s">
        <v>845</v>
      </c>
      <c r="S25" s="275" t="s">
        <v>845</v>
      </c>
      <c r="T25" s="275" t="s">
        <v>845</v>
      </c>
      <c r="U25" s="275" t="s">
        <v>845</v>
      </c>
      <c r="V25" s="275" t="s">
        <v>845</v>
      </c>
      <c r="W25" s="275" t="s">
        <v>845</v>
      </c>
      <c r="X25" s="276" t="s">
        <v>845</v>
      </c>
      <c r="Y25" s="293"/>
      <c r="Z25" s="211"/>
    </row>
    <row r="26" spans="2:26" s="143" customFormat="1">
      <c r="B26" s="144">
        <v>15</v>
      </c>
      <c r="C26" s="145" t="str">
        <f t="shared" si="0"/>
        <v>Flughafen</v>
      </c>
      <c r="D26" s="62" t="s">
        <v>247</v>
      </c>
      <c r="E26" s="165" t="s">
        <v>683</v>
      </c>
      <c r="F26" s="297" t="str">
        <f>VLOOKUP($E26,'BDEW-Standard'!$B$3:$M$94,F$9,0)</f>
        <v>2D4</v>
      </c>
      <c r="H26" s="274" t="s">
        <v>716</v>
      </c>
      <c r="I26" s="274" t="s">
        <v>717</v>
      </c>
      <c r="J26" s="274" t="s">
        <v>718</v>
      </c>
      <c r="K26" s="274" t="s">
        <v>719</v>
      </c>
      <c r="L26" s="338">
        <f>ROUND(VLOOKUP($E26,'BDEW-Standard'!$B$3:$M$94,L$9,0),1)</f>
        <v>40</v>
      </c>
      <c r="M26" s="274" t="s">
        <v>764</v>
      </c>
      <c r="N26" s="274" t="s">
        <v>765</v>
      </c>
      <c r="O26" s="274">
        <v>-2.1757999999999999E-3</v>
      </c>
      <c r="P26" s="274" t="s">
        <v>766</v>
      </c>
      <c r="Q26" s="339">
        <f t="shared" si="1"/>
        <v>1.0000002009557505</v>
      </c>
      <c r="R26" s="275" t="s">
        <v>845</v>
      </c>
      <c r="S26" s="275" t="s">
        <v>845</v>
      </c>
      <c r="T26" s="275" t="s">
        <v>845</v>
      </c>
      <c r="U26" s="275" t="s">
        <v>845</v>
      </c>
      <c r="V26" s="275" t="s">
        <v>845</v>
      </c>
      <c r="W26" s="275" t="s">
        <v>845</v>
      </c>
      <c r="X26" s="276" t="s">
        <v>845</v>
      </c>
      <c r="Y26" s="293"/>
      <c r="Z26" s="211"/>
    </row>
    <row r="27" spans="2:26" s="143" customFormat="1">
      <c r="B27" s="144">
        <v>16</v>
      </c>
      <c r="C27" s="145" t="str">
        <f t="shared" si="0"/>
        <v>Flughafen</v>
      </c>
      <c r="D27" s="62"/>
      <c r="E27" s="166"/>
      <c r="F27" s="297"/>
      <c r="H27" s="277"/>
      <c r="I27" s="277"/>
      <c r="J27" s="277"/>
      <c r="K27" s="277"/>
      <c r="L27" s="338"/>
      <c r="M27" s="277"/>
      <c r="N27" s="277"/>
      <c r="O27" s="277"/>
      <c r="P27" s="277"/>
      <c r="Q27" s="340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Flughafen</v>
      </c>
      <c r="D28" s="62"/>
      <c r="E28" s="166"/>
      <c r="F28" s="297"/>
      <c r="H28" s="277"/>
      <c r="I28" s="277"/>
      <c r="J28" s="277"/>
      <c r="K28" s="277"/>
      <c r="L28" s="338"/>
      <c r="M28" s="277"/>
      <c r="N28" s="277"/>
      <c r="O28" s="277"/>
      <c r="P28" s="277"/>
      <c r="Q28" s="340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Flughafen</v>
      </c>
      <c r="D29" s="62"/>
      <c r="E29" s="166"/>
      <c r="F29" s="297"/>
      <c r="H29" s="277"/>
      <c r="I29" s="277"/>
      <c r="J29" s="277"/>
      <c r="K29" s="277"/>
      <c r="L29" s="338"/>
      <c r="M29" s="277"/>
      <c r="N29" s="277"/>
      <c r="O29" s="277"/>
      <c r="P29" s="277"/>
      <c r="Q29" s="340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Flughafen</v>
      </c>
      <c r="D30" s="62"/>
      <c r="E30" s="166"/>
      <c r="F30" s="297"/>
      <c r="H30" s="277"/>
      <c r="I30" s="277"/>
      <c r="J30" s="277"/>
      <c r="K30" s="277"/>
      <c r="L30" s="338"/>
      <c r="M30" s="277"/>
      <c r="N30" s="277"/>
      <c r="O30" s="277"/>
      <c r="P30" s="277"/>
      <c r="Q30" s="340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Flughafen</v>
      </c>
      <c r="D31" s="62"/>
      <c r="E31" s="166"/>
      <c r="F31" s="297"/>
      <c r="H31" s="277"/>
      <c r="I31" s="277"/>
      <c r="J31" s="277"/>
      <c r="K31" s="277"/>
      <c r="L31" s="338"/>
      <c r="M31" s="277"/>
      <c r="N31" s="277"/>
      <c r="O31" s="277"/>
      <c r="P31" s="277"/>
      <c r="Q31" s="340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Flughafen</v>
      </c>
      <c r="D32" s="62"/>
      <c r="E32" s="166"/>
      <c r="F32" s="297"/>
      <c r="H32" s="277"/>
      <c r="I32" s="277"/>
      <c r="J32" s="277"/>
      <c r="K32" s="277"/>
      <c r="L32" s="338"/>
      <c r="M32" s="277"/>
      <c r="N32" s="277"/>
      <c r="O32" s="277"/>
      <c r="P32" s="277"/>
      <c r="Q32" s="340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Flughafen</v>
      </c>
      <c r="D33" s="62"/>
      <c r="E33" s="166"/>
      <c r="F33" s="297"/>
      <c r="H33" s="277"/>
      <c r="I33" s="277"/>
      <c r="J33" s="277"/>
      <c r="K33" s="277"/>
      <c r="L33" s="338"/>
      <c r="M33" s="277"/>
      <c r="N33" s="277"/>
      <c r="O33" s="277"/>
      <c r="P33" s="277"/>
      <c r="Q33" s="340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Flughafen</v>
      </c>
      <c r="D34" s="62"/>
      <c r="E34" s="166"/>
      <c r="F34" s="297"/>
      <c r="H34" s="277"/>
      <c r="I34" s="277"/>
      <c r="J34" s="277"/>
      <c r="K34" s="277"/>
      <c r="L34" s="338"/>
      <c r="M34" s="277"/>
      <c r="N34" s="277"/>
      <c r="O34" s="277"/>
      <c r="P34" s="277"/>
      <c r="Q34" s="340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Flughafen</v>
      </c>
      <c r="D35" s="62"/>
      <c r="E35" s="166"/>
      <c r="F35" s="297"/>
      <c r="H35" s="277"/>
      <c r="I35" s="277"/>
      <c r="J35" s="277"/>
      <c r="K35" s="277"/>
      <c r="L35" s="338"/>
      <c r="M35" s="277"/>
      <c r="N35" s="277"/>
      <c r="O35" s="277"/>
      <c r="P35" s="277"/>
      <c r="Q35" s="340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Flughafen</v>
      </c>
      <c r="D36" s="62"/>
      <c r="E36" s="166"/>
      <c r="F36" s="297"/>
      <c r="H36" s="277"/>
      <c r="I36" s="277"/>
      <c r="J36" s="277"/>
      <c r="K36" s="277"/>
      <c r="L36" s="338"/>
      <c r="M36" s="277"/>
      <c r="N36" s="277"/>
      <c r="O36" s="277"/>
      <c r="P36" s="277"/>
      <c r="Q36" s="340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Flughafen</v>
      </c>
      <c r="D37" s="62"/>
      <c r="E37" s="166"/>
      <c r="F37" s="297"/>
      <c r="H37" s="277"/>
      <c r="I37" s="277"/>
      <c r="J37" s="277"/>
      <c r="K37" s="277"/>
      <c r="L37" s="338"/>
      <c r="M37" s="277"/>
      <c r="N37" s="277"/>
      <c r="O37" s="277"/>
      <c r="P37" s="277"/>
      <c r="Q37" s="340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Flughafen</v>
      </c>
      <c r="D38" s="62"/>
      <c r="E38" s="166"/>
      <c r="F38" s="297"/>
      <c r="H38" s="277"/>
      <c r="I38" s="277"/>
      <c r="J38" s="277"/>
      <c r="K38" s="277"/>
      <c r="L38" s="338"/>
      <c r="M38" s="277"/>
      <c r="N38" s="277"/>
      <c r="O38" s="277"/>
      <c r="P38" s="277"/>
      <c r="Q38" s="340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Flughafen</v>
      </c>
      <c r="D39" s="62"/>
      <c r="E39" s="166"/>
      <c r="F39" s="297"/>
      <c r="H39" s="277"/>
      <c r="I39" s="277"/>
      <c r="J39" s="277"/>
      <c r="K39" s="277"/>
      <c r="L39" s="338"/>
      <c r="M39" s="277"/>
      <c r="N39" s="277"/>
      <c r="O39" s="277"/>
      <c r="P39" s="277"/>
      <c r="Q39" s="340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Flughafen</v>
      </c>
      <c r="D40" s="62"/>
      <c r="E40" s="166"/>
      <c r="F40" s="297"/>
      <c r="H40" s="277"/>
      <c r="I40" s="277"/>
      <c r="J40" s="277"/>
      <c r="K40" s="277"/>
      <c r="L40" s="338"/>
      <c r="M40" s="277"/>
      <c r="N40" s="277"/>
      <c r="O40" s="277"/>
      <c r="P40" s="277"/>
      <c r="Q40" s="340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Flughafen</v>
      </c>
      <c r="D41" s="62"/>
      <c r="E41" s="166"/>
      <c r="F41" s="297"/>
      <c r="H41" s="277"/>
      <c r="I41" s="277"/>
      <c r="J41" s="277"/>
      <c r="K41" s="277"/>
      <c r="L41" s="338"/>
      <c r="M41" s="277"/>
      <c r="N41" s="277"/>
      <c r="O41" s="277"/>
      <c r="P41" s="277"/>
      <c r="Q41" s="340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H11:K41 R11:Y41 F11:F41 M11:P41">
    <cfRule type="expression" dxfId="11" priority="11">
      <formula>ISERROR(F11)</formula>
    </cfRule>
  </conditionalFormatting>
  <conditionalFormatting sqref="Y12:Y41 E12:F41">
    <cfRule type="duplicateValues" dxfId="10" priority="33"/>
  </conditionalFormatting>
  <conditionalFormatting sqref="L11:L41">
    <cfRule type="expression" dxfId="9" priority="2">
      <formula>ISERROR(L11)</formula>
    </cfRule>
  </conditionalFormatting>
  <conditionalFormatting sqref="Q11:Q41">
    <cfRule type="expression" dxfId="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:F24 C13:C33 C34:C41 Q12:Q24" unlockedFormula="1"/>
    <ignoredError sqref="L12:L24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6">
    <tabColor rgb="FF00B050"/>
    <pageSetUpPr fitToPage="1"/>
  </sheetPr>
  <dimension ref="A1:AE35"/>
  <sheetViews>
    <sheetView showGridLines="0" zoomScale="80" zoomScaleNormal="80" workbookViewId="0">
      <selection activeCell="H29" sqref="H29"/>
    </sheetView>
  </sheetViews>
  <sheetFormatPr baseColWidth="10" defaultColWidth="0" defaultRowHeight="12.5" zeroHeight="1"/>
  <cols>
    <col min="1" max="1" width="2.81640625" style="75" customWidth="1"/>
    <col min="2" max="2" width="15.1796875" style="75" customWidth="1"/>
    <col min="3" max="3" width="14.7265625" style="75" customWidth="1"/>
    <col min="4" max="4" width="5.81640625" style="75" hidden="1" customWidth="1"/>
    <col min="5" max="5" width="5.1796875" style="75" customWidth="1"/>
    <col min="6" max="12" width="12.7265625" style="75" customWidth="1"/>
    <col min="13" max="30" width="5.7265625" style="75" customWidth="1"/>
    <col min="31" max="31" width="11.453125" style="75" customWidth="1"/>
    <col min="32" max="16384" width="11.453125" style="75" hidden="1"/>
  </cols>
  <sheetData>
    <row r="1" spans="2:30" ht="75" customHeight="1"/>
    <row r="2" spans="2:30" ht="23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enercity Flughafen Netz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4.5">
      <c r="B5" s="87" t="s">
        <v>446</v>
      </c>
      <c r="C5" s="64" t="str">
        <f>Netzbetreiber!$D$28</f>
        <v>Flughafen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4.5">
      <c r="B6" s="85" t="s">
        <v>444</v>
      </c>
      <c r="C6" s="63" t="str">
        <f>Netzbetreiber!$D$11</f>
        <v>9907818000001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" thickBot="1">
      <c r="B7" s="85" t="s">
        <v>133</v>
      </c>
      <c r="C7" s="59">
        <f>Netzbetreiber!$D$6</f>
        <v>44927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50" t="s">
        <v>460</v>
      </c>
      <c r="N8" s="351"/>
      <c r="O8" s="351"/>
      <c r="P8" s="351"/>
      <c r="Q8" s="351"/>
      <c r="R8" s="351"/>
      <c r="S8" s="351"/>
      <c r="T8" s="351"/>
      <c r="U8" s="351"/>
      <c r="V8" s="351"/>
      <c r="W8" s="351"/>
      <c r="X8" s="351"/>
      <c r="Y8" s="351"/>
      <c r="Z8" s="351"/>
      <c r="AA8" s="351"/>
      <c r="AB8" s="351"/>
      <c r="AC8" s="351"/>
      <c r="AD8" s="352"/>
    </row>
    <row r="9" spans="2:30" ht="1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55" t="s">
        <v>584</v>
      </c>
      <c r="C10" s="356"/>
      <c r="D10" s="94">
        <v>2</v>
      </c>
      <c r="E10" s="95" t="str">
        <f>IF(ISERROR(HLOOKUP(E$11,$M$9:$AD$33,$D10,0)),"",HLOOKUP(E$11,$M$9:$AD$33,$D10,0))</f>
        <v/>
      </c>
      <c r="F10" s="353" t="s">
        <v>398</v>
      </c>
      <c r="G10" s="353"/>
      <c r="H10" s="353"/>
      <c r="I10" s="353"/>
      <c r="J10" s="353"/>
      <c r="K10" s="353"/>
      <c r="L10" s="354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1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4.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4.5">
      <c r="B13" s="116" t="s">
        <v>400</v>
      </c>
      <c r="C13" s="117"/>
      <c r="D13" s="111">
        <v>5</v>
      </c>
      <c r="E13" s="305">
        <f t="shared" ref="E13:E33" si="0">MIN(SUMPRODUCT($M$11:$AD$11,M13:AD13),1)</f>
        <v>0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4.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4.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4.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4.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4.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4.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4.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4.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4.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4.5">
      <c r="B23" s="116" t="s">
        <v>420</v>
      </c>
      <c r="C23" s="117"/>
      <c r="D23" s="111">
        <v>15</v>
      </c>
      <c r="E23" s="305">
        <f t="shared" si="0"/>
        <v>0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4.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4.5">
      <c r="B25" s="116" t="s">
        <v>406</v>
      </c>
      <c r="C25" s="117"/>
      <c r="D25" s="111">
        <v>17</v>
      </c>
      <c r="E25" s="305">
        <f t="shared" si="0"/>
        <v>0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4.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4.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>
        <v>1</v>
      </c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4.5">
      <c r="B28" s="116" t="s">
        <v>409</v>
      </c>
      <c r="C28" s="117"/>
      <c r="D28" s="111">
        <v>20</v>
      </c>
      <c r="E28" s="305">
        <f t="shared" si="0"/>
        <v>0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4.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4.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4.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4.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600-000000000000}">
      <formula1>$M$9:$AD$9</formula1>
    </dataValidation>
    <dataValidation type="list" allowBlank="1" showInputMessage="1" showErrorMessage="1" sqref="M11:AD11" xr:uid="{00000000-0002-0000-0600-000001000000}">
      <formula1>"1,0"</formula1>
    </dataValidation>
    <dataValidation type="list" allowBlank="1" showInputMessage="1" showErrorMessage="1" sqref="AD12:AD33" xr:uid="{00000000-0002-0000-0600-000002000000}">
      <formula1>"1, "</formula1>
    </dataValidation>
    <dataValidation type="list" allowBlank="1" showInputMessage="1" showErrorMessage="1" sqref="F12:L33" xr:uid="{00000000-0002-0000-06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4">
    <tabColor rgb="FFC00000"/>
  </sheetPr>
  <dimension ref="A1:N158"/>
  <sheetViews>
    <sheetView showGridLines="0" zoomScale="80" zoomScaleNormal="80" workbookViewId="0">
      <selection activeCell="B12" sqref="B12"/>
    </sheetView>
  </sheetViews>
  <sheetFormatPr baseColWidth="10" defaultColWidth="11.453125" defaultRowHeight="14.5"/>
  <cols>
    <col min="1" max="3" width="11.453125" style="128"/>
    <col min="4" max="4" width="19.81640625" style="128" customWidth="1"/>
    <col min="5" max="9" width="16" style="128" customWidth="1"/>
    <col min="10" max="10" width="15.1796875" style="128" customWidth="1"/>
    <col min="11" max="12" width="16" style="128" customWidth="1"/>
    <col min="13" max="13" width="15.26953125" style="128" customWidth="1"/>
    <col min="14" max="16384" width="11.453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546</v>
      </c>
      <c r="N1" s="215"/>
    </row>
    <row r="2" spans="1:14" ht="2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 xr:uid="{00000000-0009-0000-0000-000007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ColWidth="11.453125" defaultRowHeight="14.5"/>
  <cols>
    <col min="1" max="1" width="9.7265625" style="254" customWidth="1"/>
    <col min="2" max="2" width="7" style="255" customWidth="1"/>
    <col min="3" max="3" width="27.7265625" style="234" customWidth="1"/>
    <col min="4" max="10" width="8.81640625" style="234" customWidth="1"/>
    <col min="11" max="14" width="11.453125" style="234" customWidth="1"/>
    <col min="15" max="15" width="12.26953125" style="128" customWidth="1"/>
    <col min="16" max="16" width="16.54296875" style="234" customWidth="1"/>
    <col min="17" max="16384" width="11.4531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49999999999999" customHeight="1">
      <c r="A3" s="357" t="s">
        <v>248</v>
      </c>
      <c r="B3" s="235" t="s">
        <v>86</v>
      </c>
      <c r="C3" s="236"/>
      <c r="D3" s="359" t="s">
        <v>459</v>
      </c>
      <c r="E3" s="360"/>
      <c r="F3" s="360"/>
      <c r="G3" s="360"/>
      <c r="H3" s="360"/>
      <c r="I3" s="360"/>
      <c r="J3" s="361"/>
      <c r="K3" s="237"/>
      <c r="L3" s="237"/>
      <c r="M3" s="237"/>
      <c r="N3" s="237"/>
      <c r="O3" s="238"/>
      <c r="P3" s="237"/>
    </row>
    <row r="4" spans="1:16" ht="20.149999999999999" customHeight="1">
      <c r="A4" s="358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49999999999999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7.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Kamp, Jochen</cp:lastModifiedBy>
  <cp:lastPrinted>2015-03-20T22:59:10Z</cp:lastPrinted>
  <dcterms:created xsi:type="dcterms:W3CDTF">2015-01-15T05:25:41Z</dcterms:created>
  <dcterms:modified xsi:type="dcterms:W3CDTF">2022-10-20T20:10:40Z</dcterms:modified>
</cp:coreProperties>
</file>